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350" activeTab="1"/>
  </bookViews>
  <sheets>
    <sheet name="Приложение 1  " sheetId="4" r:id="rId1"/>
    <sheet name="Приложение 2" sheetId="1" r:id="rId2"/>
  </sheets>
  <definedNames>
    <definedName name="_xlnm._FilterDatabase" localSheetId="0" hidden="1">'Приложение 1  '!$A$11:$G$151</definedName>
    <definedName name="_xlnm._FilterDatabase" localSheetId="1" hidden="1">'Приложение 2'!$A$11:$F$91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7" i="4"/>
  <c r="G39" l="1"/>
  <c r="G146" l="1"/>
  <c r="G77"/>
  <c r="D43" i="1"/>
  <c r="F54"/>
  <c r="F18" l="1"/>
  <c r="F20"/>
  <c r="F26"/>
  <c r="F30"/>
  <c r="D59"/>
  <c r="F78"/>
  <c r="F39"/>
  <c r="F75"/>
  <c r="F62"/>
  <c r="F50"/>
  <c r="F49"/>
  <c r="F38"/>
  <c r="F36"/>
  <c r="G75" i="4"/>
  <c r="G50"/>
  <c r="G42"/>
  <c r="G29"/>
  <c r="G28"/>
  <c r="G26"/>
  <c r="G22"/>
  <c r="G125"/>
  <c r="G144"/>
  <c r="G131"/>
  <c r="G119"/>
  <c r="G114"/>
  <c r="G112"/>
  <c r="G108"/>
  <c r="G103"/>
  <c r="G98"/>
  <c r="G96"/>
  <c r="G90"/>
  <c r="F156"/>
  <c r="E153"/>
  <c r="E154"/>
  <c r="E155"/>
  <c r="F162"/>
  <c r="G56" l="1"/>
  <c r="G159" l="1"/>
  <c r="G158"/>
  <c r="G162" s="1"/>
  <c r="E81" l="1"/>
  <c r="G73"/>
  <c r="G68"/>
  <c r="G82" l="1"/>
  <c r="G32" l="1"/>
  <c r="G152"/>
  <c r="G156" s="1"/>
  <c r="G136" l="1"/>
  <c r="E70" l="1"/>
  <c r="E111"/>
  <c r="E136" l="1"/>
  <c r="G14" l="1"/>
  <c r="E68"/>
  <c r="E80"/>
  <c r="G65"/>
  <c r="E65" s="1"/>
  <c r="G53"/>
  <c r="G46"/>
  <c r="E31"/>
  <c r="G20"/>
  <c r="G60" l="1"/>
  <c r="E60" s="1"/>
  <c r="D33" i="1" l="1"/>
  <c r="G84" i="4"/>
  <c r="E29"/>
  <c r="G12"/>
  <c r="E130" l="1"/>
  <c r="E98"/>
  <c r="G71"/>
  <c r="E71" s="1"/>
  <c r="E74"/>
  <c r="E67"/>
  <c r="E83"/>
  <c r="E66"/>
  <c r="E39"/>
  <c r="C71"/>
  <c r="E84"/>
  <c r="G37"/>
  <c r="E82" l="1"/>
  <c r="E159" l="1"/>
  <c r="E129"/>
  <c r="C129"/>
  <c r="C131" s="1"/>
  <c r="E28" l="1"/>
  <c r="G44" l="1"/>
  <c r="E131" l="1"/>
  <c r="E105" l="1"/>
  <c r="E112"/>
  <c r="E82" i="1" l="1"/>
  <c r="D81"/>
  <c r="D50" l="1"/>
  <c r="E20" i="4" l="1"/>
  <c r="E19"/>
  <c r="E22"/>
  <c r="D36" i="1" l="1"/>
  <c r="D37"/>
  <c r="D13" l="1"/>
  <c r="D29" l="1"/>
  <c r="F40" l="1"/>
  <c r="E103" i="4"/>
  <c r="D40" i="1" l="1"/>
  <c r="F82"/>
  <c r="E96" i="4"/>
  <c r="G151"/>
  <c r="E151" s="1"/>
  <c r="F151"/>
  <c r="F89"/>
  <c r="G89"/>
  <c r="E158"/>
  <c r="E162" s="1"/>
  <c r="D26" i="1"/>
  <c r="E119" i="4"/>
  <c r="D32" i="1" l="1"/>
  <c r="D18"/>
  <c r="D23"/>
  <c r="D28"/>
  <c r="D80"/>
  <c r="D14"/>
  <c r="D24"/>
  <c r="E146" i="4" l="1"/>
  <c r="G140"/>
  <c r="E77"/>
  <c r="E61"/>
  <c r="E123" l="1"/>
  <c r="E152"/>
  <c r="E156" s="1"/>
  <c r="E140"/>
  <c r="E125"/>
  <c r="E110"/>
  <c r="E114"/>
  <c r="G150"/>
  <c r="E44" l="1"/>
  <c r="E75" l="1"/>
  <c r="E73"/>
  <c r="E59"/>
  <c r="E56"/>
  <c r="E53"/>
  <c r="E50"/>
  <c r="E49"/>
  <c r="E48"/>
  <c r="E46"/>
  <c r="E42"/>
  <c r="E89" s="1"/>
  <c r="E37"/>
  <c r="E36"/>
  <c r="E32"/>
  <c r="E27"/>
  <c r="E14"/>
  <c r="E12"/>
  <c r="D17" i="1" l="1"/>
  <c r="E26" i="4" l="1"/>
  <c r="G88"/>
  <c r="G164" l="1"/>
  <c r="F157"/>
  <c r="G165" l="1"/>
  <c r="F165"/>
  <c r="F163"/>
  <c r="F87"/>
  <c r="F88" s="1"/>
  <c r="D20" i="1"/>
  <c r="D34" l="1"/>
  <c r="D25"/>
  <c r="D22"/>
  <c r="E83"/>
  <c r="E85"/>
  <c r="E88"/>
  <c r="E89"/>
  <c r="E87"/>
  <c r="E86"/>
  <c r="E84"/>
  <c r="D12"/>
  <c r="E144" i="4" l="1"/>
  <c r="F150" l="1"/>
  <c r="F164" s="1"/>
  <c r="E149"/>
  <c r="E87"/>
  <c r="E88" s="1"/>
  <c r="E90" i="1"/>
  <c r="F90"/>
  <c r="D47"/>
  <c r="D30" l="1"/>
  <c r="D38"/>
  <c r="D39"/>
  <c r="D41"/>
  <c r="D42"/>
  <c r="D44"/>
  <c r="D48"/>
  <c r="D49"/>
  <c r="D51"/>
  <c r="D54"/>
  <c r="D62"/>
  <c r="D63"/>
  <c r="D68"/>
  <c r="D73"/>
  <c r="D75"/>
  <c r="D77"/>
  <c r="D78"/>
  <c r="D82" l="1"/>
  <c r="E108" i="4"/>
  <c r="E90"/>
  <c r="E150" s="1"/>
  <c r="E164" s="1"/>
  <c r="E165" l="1"/>
  <c r="D89" i="1"/>
  <c r="D88"/>
  <c r="D87"/>
  <c r="D86"/>
  <c r="D85"/>
  <c r="D84"/>
  <c r="D83"/>
  <c r="D90" l="1"/>
  <c r="E91"/>
  <c r="D91" l="1"/>
  <c r="F91"/>
</calcChain>
</file>

<file path=xl/sharedStrings.xml><?xml version="1.0" encoding="utf-8"?>
<sst xmlns="http://schemas.openxmlformats.org/spreadsheetml/2006/main" count="373" uniqueCount="238">
  <si>
    <t>Наименование учреждения</t>
  </si>
  <si>
    <t>Наименование работ</t>
  </si>
  <si>
    <t>Наименование субсидии</t>
  </si>
  <si>
    <t>Стоимость работ, всего</t>
  </si>
  <si>
    <t>в том числе по источникам финансирования</t>
  </si>
  <si>
    <t>средства областного бюджета</t>
  </si>
  <si>
    <t>средства бюджета Златоустовского городского округа</t>
  </si>
  <si>
    <t>МАДОУ "Детский сад комбинированного вида № 84"</t>
  </si>
  <si>
    <t>Обеспечение физической квалифицированной охраной</t>
  </si>
  <si>
    <t>МАДОУ "Детский сад комбинированного вида № 143"</t>
  </si>
  <si>
    <t>МАОУ СОШ №1</t>
  </si>
  <si>
    <t>МАОУ СОШ №2</t>
  </si>
  <si>
    <t>МАОУ СОШ №3</t>
  </si>
  <si>
    <t>МАОУ СОШ №4</t>
  </si>
  <si>
    <t>МАОУ СОШ №8</t>
  </si>
  <si>
    <t>МАОУ СОШ №9</t>
  </si>
  <si>
    <t>МАОУ СОШ №10</t>
  </si>
  <si>
    <t>МАОУ СОШ №13</t>
  </si>
  <si>
    <t>МАОУ СОШ №15</t>
  </si>
  <si>
    <t>МАОУ СОШ № 18</t>
  </si>
  <si>
    <t>МАОУ СОШ №21</t>
  </si>
  <si>
    <t>МАОУ СОШ №25</t>
  </si>
  <si>
    <t>МАОУ СОШ №34</t>
  </si>
  <si>
    <t>МАОУ СОШ № 35</t>
  </si>
  <si>
    <t>МАОУ СОШ № 38</t>
  </si>
  <si>
    <t>МАОУ СОШ № 45</t>
  </si>
  <si>
    <t xml:space="preserve">МАОУ СОШ № 90 </t>
  </si>
  <si>
    <t>МАУ ШИ №31</t>
  </si>
  <si>
    <t>МАУ Начальная школа №25</t>
  </si>
  <si>
    <t>ИТОГО по направлению</t>
  </si>
  <si>
    <t>МАОУ СОШ №35</t>
  </si>
  <si>
    <t>МАОУ СОШ №36</t>
  </si>
  <si>
    <t>МАОУ СОШ №37</t>
  </si>
  <si>
    <t>МАОУ СОШ №38</t>
  </si>
  <si>
    <t>МАОУ СОШ №90</t>
  </si>
  <si>
    <t>ИТОГО:</t>
  </si>
  <si>
    <t>Тип учреждения</t>
  </si>
  <si>
    <t>средства областного и федерального бюджетов</t>
  </si>
  <si>
    <t>Дошкольные учреждения</t>
  </si>
  <si>
    <t>Ремонт и противопожарные мероприятия</t>
  </si>
  <si>
    <t>МАДОУ "Детский сад № 58"</t>
  </si>
  <si>
    <t>из них на проведение противопожарных мероприятий</t>
  </si>
  <si>
    <t>МАОУ СОШ № 9</t>
  </si>
  <si>
    <t>МАОУ СОШ № 10</t>
  </si>
  <si>
    <t xml:space="preserve">Сумма, рублей
</t>
  </si>
  <si>
    <t>Общеобразовательные учреждения</t>
  </si>
  <si>
    <t>Ремонт кровли СП Детский сад №54</t>
  </si>
  <si>
    <t xml:space="preserve">Ремонт кровли  </t>
  </si>
  <si>
    <t>МАДОУ "Детский сад № 52"</t>
  </si>
  <si>
    <t>Капитальный ремонт здания</t>
  </si>
  <si>
    <t>Субсидия на проведение капитального ремонта зданий и сооружений муниципальных организаций дошкольного образования</t>
  </si>
  <si>
    <t>Субсидия на замену окон в общеобразовательных организациях</t>
  </si>
  <si>
    <t>Замена оконных блоков</t>
  </si>
  <si>
    <t>Монтаж системы оповещения</t>
  </si>
  <si>
    <t>МАДОУ "Детский сад комбинированного вида № 4"</t>
  </si>
  <si>
    <t>Монтаж системы контроля доступа СП ООШ №23</t>
  </si>
  <si>
    <t>Ремонт охранной сигнализации СП ООШ №23</t>
  </si>
  <si>
    <t>Ремонт системы охранного телевидения СП ООШ №23</t>
  </si>
  <si>
    <t>МАДОУ "Детский сад № 72"</t>
  </si>
  <si>
    <t>МАДОУ "Детский сад № 96"</t>
  </si>
  <si>
    <t>МАДОУ "Детский сад комбинированного вида № 43"</t>
  </si>
  <si>
    <t>МАДОУ "Детский сад комбинированного вида № 47"</t>
  </si>
  <si>
    <t>Устройство калитки</t>
  </si>
  <si>
    <t>Ремонт помещений</t>
  </si>
  <si>
    <t xml:space="preserve">Монтаж дверей </t>
  </si>
  <si>
    <t>МАДОУ "Детский сад комбинированного вида № 36"</t>
  </si>
  <si>
    <t>Монтаж металлической двери</t>
  </si>
  <si>
    <t>МАДОУ "Детский сад № 17"</t>
  </si>
  <si>
    <t>Монтаж системы вентиляции</t>
  </si>
  <si>
    <t>МАДОУ "Детский сад № 5"</t>
  </si>
  <si>
    <t>МАДОУ "Детский сад № 2"</t>
  </si>
  <si>
    <t>Ремонтные работы</t>
  </si>
  <si>
    <t>МАДОУ "Детский сад № 24"</t>
  </si>
  <si>
    <t>Замена дверей</t>
  </si>
  <si>
    <t>МАДОУ "Детский сад № 33"</t>
  </si>
  <si>
    <t>МАДОУ "Детский сад № 38"</t>
  </si>
  <si>
    <t>МАДОУ "Детский сад № 44"</t>
  </si>
  <si>
    <t>МАДОУ "Детский сад № 47"</t>
  </si>
  <si>
    <t>Ремонт санитарного узла</t>
  </si>
  <si>
    <t>Противопожарные мероприятия</t>
  </si>
  <si>
    <t>МАДОУ "Детский сад № 59"</t>
  </si>
  <si>
    <t>МАДОУ "Детский сад № 61"</t>
  </si>
  <si>
    <t>Замена светильников</t>
  </si>
  <si>
    <t>МАДОУ "Детский сад № 62"</t>
  </si>
  <si>
    <t>МАДОУ "Детский сад № 63"</t>
  </si>
  <si>
    <t>МАДОУ "Детский сад № 65"</t>
  </si>
  <si>
    <t>Замена линолеума</t>
  </si>
  <si>
    <t>МАДОУ "Детский сад № 71"</t>
  </si>
  <si>
    <t>МАДОУ "Детский сад № 87"</t>
  </si>
  <si>
    <t>МАДОУ "Детский сад № 209"</t>
  </si>
  <si>
    <t>МАДОУ "Детский сад № 91"</t>
  </si>
  <si>
    <t>МАДОУ "Детский сад комбинированного вида № 33"</t>
  </si>
  <si>
    <t xml:space="preserve">Приобретение материалов для ремонта ограждения </t>
  </si>
  <si>
    <t xml:space="preserve">Монтаж системы контроля доступа </t>
  </si>
  <si>
    <t>МАОУ СОШ № 34</t>
  </si>
  <si>
    <t>МАОУ СОШ № 8</t>
  </si>
  <si>
    <t>МАОУ СОШ № 4</t>
  </si>
  <si>
    <t>Ремонт коридора</t>
  </si>
  <si>
    <t>МАОУ СОШ № 90</t>
  </si>
  <si>
    <t>Замена освещения</t>
  </si>
  <si>
    <t>Установка перегородки</t>
  </si>
  <si>
    <t>МАУ ДО ЦЮТ</t>
  </si>
  <si>
    <t>Приобретение материалов для ремонтных работ</t>
  </si>
  <si>
    <t>МАОУ СОШ № 25</t>
  </si>
  <si>
    <t>Учреждения дополнительного образования</t>
  </si>
  <si>
    <t>МАДОУ "Детский сад № 73"</t>
  </si>
  <si>
    <t>Монтаж притяжной вентиляции</t>
  </si>
  <si>
    <t>МАДОУ "Детский сад № 92"</t>
  </si>
  <si>
    <t>Услуги прохождения государственной экспертизы</t>
  </si>
  <si>
    <t>Аварийный ремонт системы отопления</t>
  </si>
  <si>
    <t>МАДОУ "Детский сад комбинированного вида № 15"</t>
  </si>
  <si>
    <t>Монтаж разделительного забора, в том числе разработка проектно-сметной документации</t>
  </si>
  <si>
    <t>Восстановление работоспособности системы видеонаблюдения</t>
  </si>
  <si>
    <t>Монтаж системы контроля управления доступом</t>
  </si>
  <si>
    <t>МАДОУ "Детский сад № 75"</t>
  </si>
  <si>
    <t>Монтаж дополнительных камер видеонаблюдения</t>
  </si>
  <si>
    <t>МАДОУ "Детский сад комбинированного вида № 38"</t>
  </si>
  <si>
    <t>Восстановление аварийного освещения</t>
  </si>
  <si>
    <t>Монтаж системы контроля доступа</t>
  </si>
  <si>
    <t xml:space="preserve">МАОУ СОШ № 2 </t>
  </si>
  <si>
    <t>Ремонт системы АПС</t>
  </si>
  <si>
    <t>Ремонт системы видеонаблюдения</t>
  </si>
  <si>
    <t>МАОУ СОШ № 21</t>
  </si>
  <si>
    <t>Разработка проектно-сметной документации на капитальный ремонт здания СП ООШ №5</t>
  </si>
  <si>
    <t>Монтаж освещения на фасаде здания</t>
  </si>
  <si>
    <t>Прочие учреждения</t>
  </si>
  <si>
    <t>МАУ ЦООД Горный</t>
  </si>
  <si>
    <t xml:space="preserve">Монтаж системы оповещения </t>
  </si>
  <si>
    <t>МАДОУ "Детский сад № 76"</t>
  </si>
  <si>
    <t>Замена стеклопакетов</t>
  </si>
  <si>
    <t>МАДОУ "Детский сад № 29"</t>
  </si>
  <si>
    <t>МАДОУ "Детский сад комбинированного вида № 5"</t>
  </si>
  <si>
    <t>Ремонт АПС</t>
  </si>
  <si>
    <t>Аварийные работы в системе отопления</t>
  </si>
  <si>
    <t>Аварийный ремонт ХВС</t>
  </si>
  <si>
    <t>МАДОУ "Детский сад комбинированного вида № 137"</t>
  </si>
  <si>
    <t>МАДОУ "Детский сад № 98"</t>
  </si>
  <si>
    <t>Монтаж дополнительных камер видеонаблюдения, дооборудование системы видеонаблюдения</t>
  </si>
  <si>
    <t>монтаж камер системы видеонаблюдения</t>
  </si>
  <si>
    <t>оснащение видеонаблюдением контрольно-пропускного пункта</t>
  </si>
  <si>
    <t>МАДОУ "Детский сад №7"</t>
  </si>
  <si>
    <t>Аварийный ремонт ЛЭП</t>
  </si>
  <si>
    <t>Ремонт кровли</t>
  </si>
  <si>
    <t>Аварийный ремонт канализации</t>
  </si>
  <si>
    <t>Аварийный ремонт  помещений</t>
  </si>
  <si>
    <t>Приобретение краски, монтаж дверей</t>
  </si>
  <si>
    <t>МАДОУ "Детский сад №15"</t>
  </si>
  <si>
    <t>Ремонт кровли, технический надзор за работами, проведение негосударственной экспертизы сметной стоимости работ, осуществление строительного контроля (технического надзора)</t>
  </si>
  <si>
    <t>Монтаж системы пожарной безопасности, рабочий проект ПС и СО,
управления эвакуацией людей при пожаре</t>
  </si>
  <si>
    <t>МАОУ СОШ № 3</t>
  </si>
  <si>
    <t>Ремонт пожарного водопровода</t>
  </si>
  <si>
    <t>Аварийный ремонт</t>
  </si>
  <si>
    <t>МАУ ЦООД "Лесная сказка"</t>
  </si>
  <si>
    <t>Дооборудование системы видеонаблюдения</t>
  </si>
  <si>
    <t>Ремонт ограждения территории</t>
  </si>
  <si>
    <t>Аварийная ситуация на вводе тепловой сети</t>
  </si>
  <si>
    <t>Разработка сметной документации</t>
  </si>
  <si>
    <t>Ремонт сантехнических перегородок</t>
  </si>
  <si>
    <t>Приобретение линолеума</t>
  </si>
  <si>
    <t>Приобретение строительных материалов</t>
  </si>
  <si>
    <t>Ремонтные работы СП ДС №69</t>
  </si>
  <si>
    <t>МАУ ЦООД Лесная сказка</t>
  </si>
  <si>
    <t>Монтаж ограждения</t>
  </si>
  <si>
    <t>Монтаж перегородок</t>
  </si>
  <si>
    <t>Аварийный ремонт теплотрассы</t>
  </si>
  <si>
    <t>МАОУ СОШ № 36</t>
  </si>
  <si>
    <t>Устройство независимой канализации СП ООШ №№12,19</t>
  </si>
  <si>
    <t>Замена оконных блоков (дополнительные работы)</t>
  </si>
  <si>
    <t>МАУ ДО ДДиЮ</t>
  </si>
  <si>
    <t xml:space="preserve">Ремонт актового зала, в том числе проведение обследования </t>
  </si>
  <si>
    <t>проведение инженерно-геологических изысканий</t>
  </si>
  <si>
    <t>разработка проектна на капитальный ремонт здания</t>
  </si>
  <si>
    <t>Ремонт теплообменника, канализации</t>
  </si>
  <si>
    <t>МАДОУ "Детский сад № 137"</t>
  </si>
  <si>
    <t>монтаж узла учета</t>
  </si>
  <si>
    <t>Приобретение материалов для ремонтных работ монтаж узла учета</t>
  </si>
  <si>
    <t>МАДОУ "Детский сад № 84"</t>
  </si>
  <si>
    <t>МАДОУ "Детский сад № 77"</t>
  </si>
  <si>
    <t>МАДОУ "Детский сад № 143"</t>
  </si>
  <si>
    <t>замена расходомера на обратном трубопроводе</t>
  </si>
  <si>
    <t xml:space="preserve"> монтаж системы водоснабжения и водоотведения в кабинетах врача и процедурном</t>
  </si>
  <si>
    <t>МАДОУ "Детский сад № 80"</t>
  </si>
  <si>
    <t>МАДОУ "Детский сад № 90"</t>
  </si>
  <si>
    <t>Приобретение  и монтаж ворот и калитки</t>
  </si>
  <si>
    <t>МАОУ СОШ № 37</t>
  </si>
  <si>
    <t>Устройство притяжной вентиляции на пищеблоках</t>
  </si>
  <si>
    <t>Устройство временного ограждения</t>
  </si>
  <si>
    <t>МАДОУ "Детский сад № 95"</t>
  </si>
  <si>
    <t>Ремонт помещений "Доброшколы", кабинетов РАС</t>
  </si>
  <si>
    <t>Ремонт системы контроля управления доступом, замена входной двери</t>
  </si>
  <si>
    <t>Замена окон</t>
  </si>
  <si>
    <t>Ремонт ограждения территории (ворота, калитка), монтаж системы СКУД</t>
  </si>
  <si>
    <t>МАДОУ "Детский сад № 34"</t>
  </si>
  <si>
    <t>Замена бойлера</t>
  </si>
  <si>
    <t>Приобретение двери, замена люка</t>
  </si>
  <si>
    <t>Ремнот канализационных стоков</t>
  </si>
  <si>
    <t>Аварийный ремонт потолочного покрытия</t>
  </si>
  <si>
    <t>Замена трубопровода</t>
  </si>
  <si>
    <t>Обследование кровли</t>
  </si>
  <si>
    <t>Аварийный ремонт теплоснабжения, замена стояка в подвальном помещении</t>
  </si>
  <si>
    <t>Аварийный ремонт гидранта</t>
  </si>
  <si>
    <t>Капитальный ремонт подпорный стены (бетон)</t>
  </si>
  <si>
    <t>разработка проектно-сметной документации на капитальный ремонт здания</t>
  </si>
  <si>
    <t>Ремонт СП ООШ №23 (канализация, ремонт помещений, ремонт кровли), в том числе технический надзор и проверка сметной стоимости работ</t>
  </si>
  <si>
    <t>Ремонт подпорной стены</t>
  </si>
  <si>
    <t>МАДОУ "Детский сад № 81"</t>
  </si>
  <si>
    <t>Монтаж узла учета</t>
  </si>
  <si>
    <t>Огнезащитная обработка чердачных помещений</t>
  </si>
  <si>
    <t>МАОУ СОШ № 13</t>
  </si>
  <si>
    <t>Ремонт системы отопления</t>
  </si>
  <si>
    <t>Разработка проекта на капитальный ремонт здания</t>
  </si>
  <si>
    <t>МАДОУ "Детский сад № 82"</t>
  </si>
  <si>
    <t>Ремонт сети энергоснабжения</t>
  </si>
  <si>
    <t>Ремонт теплотрассы</t>
  </si>
  <si>
    <t>Замена водоподогревателя</t>
  </si>
  <si>
    <t>Установка двери, ремонт бойлера</t>
  </si>
  <si>
    <t>аварийный ремонт кровли</t>
  </si>
  <si>
    <t>замена пожарного гидранта, аварийный ремонт канализации и отопления</t>
  </si>
  <si>
    <t>замена кафельной плитки</t>
  </si>
  <si>
    <t>Приобретение противопожарной краски, радиаторов</t>
  </si>
  <si>
    <t>Ремонт котельной, приобретение строительных материалов для ремонта и подготовки лагеря</t>
  </si>
  <si>
    <t>МАУ ЦМиХО</t>
  </si>
  <si>
    <t>ремонт помещений</t>
  </si>
  <si>
    <t>МАУ ДО ЦЭВД</t>
  </si>
  <si>
    <t>ремонт помещений, разработка проектно-сметной документации, ремонт кровли</t>
  </si>
  <si>
    <t>МАУ ДО ДвДТ</t>
  </si>
  <si>
    <t>Ремонт кровли, ремонт электропроводки</t>
  </si>
  <si>
    <t>Монтаж тревожной сигнализации</t>
  </si>
  <si>
    <t>модернизация системы видеонаблюдения</t>
  </si>
  <si>
    <t>монтаж охранной сигнализации</t>
  </si>
  <si>
    <t>Монтаж охранной синализации</t>
  </si>
  <si>
    <t>Аварийные работы на теплотрассе</t>
  </si>
  <si>
    <t>Перечень объектов и работ по ремонтам и противопожарным мероприятиям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2024 год</t>
  </si>
  <si>
    <t>(рублей)</t>
  </si>
  <si>
    <t>Перечень объектов и видов мероприятий антитеррористической направленности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2024 год</t>
  </si>
  <si>
    <t>Субсидия на обеспечение образовательных организаций 1, 2 категории квалифицированной охраной</t>
  </si>
  <si>
    <t xml:space="preserve">ПРИЛОЖЕНИЕ 1
Утверждено
распоряжением администрации
Златоустовского городского округа
от 14.11.2024 г. № 3159-р/АДМ
</t>
  </si>
  <si>
    <t>ПРИЛОЖЕНИЕ 2
Утверждено
распоряжением администрации
Златоустовского городского округа
от 14.11.2024 г. № 3159-р/АДМ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</si>
</sst>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_(* #,##0.00_);_(* \(#,##0.00\);_(* &quot;-&quot;??_);_(@_)"/>
    <numFmt numFmtId="165" formatCode="_(* #,##0.000000000_);_(* \(#,##0.000000000\);_(* &quot;-&quot;??_);_(@_)"/>
    <numFmt numFmtId="166" formatCode="_(* #,##0.0000_);_(* \(#,##0.0000\);_(* &quot;-&quot;??_);_(@_)"/>
    <numFmt numFmtId="167" formatCode="_-* #,##0.0000\ _₽_-;\-* #,##0.0000\ _₽_-;_-* &quot;-&quot;????\ _₽_-;_-@_-"/>
  </numFmts>
  <fonts count="8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wrapText="1" shrinkToFit="1"/>
    </xf>
    <xf numFmtId="164" fontId="2" fillId="2" borderId="0" xfId="1" applyFont="1" applyFill="1" applyAlignment="1">
      <alignment wrapText="1" shrinkToFit="1"/>
    </xf>
    <xf numFmtId="0" fontId="4" fillId="2" borderId="5" xfId="0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horizontal="right" vertical="center" wrapText="1" shrinkToFi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 shrinkToFit="1"/>
    </xf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right"/>
    </xf>
    <xf numFmtId="164" fontId="2" fillId="2" borderId="5" xfId="1" applyFont="1" applyFill="1" applyBorder="1" applyAlignment="1">
      <alignment horizontal="right" vertical="center"/>
    </xf>
    <xf numFmtId="164" fontId="2" fillId="2" borderId="0" xfId="1" applyFont="1" applyFill="1" applyAlignment="1">
      <alignment horizontal="center" wrapText="1" shrinkToFit="1"/>
    </xf>
    <xf numFmtId="0" fontId="2" fillId="2" borderId="0" xfId="0" applyFont="1" applyFill="1" applyAlignment="1">
      <alignment horizontal="left" wrapText="1" shrinkToFit="1"/>
    </xf>
    <xf numFmtId="0" fontId="2" fillId="2" borderId="5" xfId="0" applyFont="1" applyFill="1" applyBorder="1" applyAlignment="1">
      <alignment vertical="center"/>
    </xf>
    <xf numFmtId="164" fontId="2" fillId="2" borderId="5" xfId="1" applyFont="1" applyFill="1" applyBorder="1" applyAlignment="1">
      <alignment vertical="center"/>
    </xf>
    <xf numFmtId="164" fontId="5" fillId="2" borderId="5" xfId="1" applyFont="1" applyFill="1" applyBorder="1" applyAlignment="1">
      <alignment vertical="center"/>
    </xf>
    <xf numFmtId="164" fontId="4" fillId="2" borderId="5" xfId="1" applyFont="1" applyFill="1" applyBorder="1" applyAlignment="1">
      <alignment vertical="center"/>
    </xf>
    <xf numFmtId="165" fontId="2" fillId="2" borderId="0" xfId="1" applyNumberFormat="1" applyFont="1" applyFill="1" applyAlignment="1">
      <alignment horizontal="right" vertical="center"/>
    </xf>
    <xf numFmtId="164" fontId="2" fillId="2" borderId="0" xfId="1" applyFont="1" applyFill="1" applyAlignment="1">
      <alignment horizontal="right" vertical="center"/>
    </xf>
    <xf numFmtId="43" fontId="2" fillId="2" borderId="0" xfId="0" applyNumberFormat="1" applyFont="1" applyFill="1"/>
    <xf numFmtId="166" fontId="2" fillId="2" borderId="0" xfId="1" applyNumberFormat="1" applyFont="1" applyFill="1"/>
    <xf numFmtId="167" fontId="2" fillId="2" borderId="0" xfId="0" applyNumberFormat="1" applyFont="1" applyFill="1"/>
    <xf numFmtId="164" fontId="2" fillId="2" borderId="1" xfId="1" applyFont="1" applyFill="1" applyBorder="1" applyAlignment="1">
      <alignment vertical="center" wrapText="1" shrinkToFit="1"/>
    </xf>
    <xf numFmtId="164" fontId="2" fillId="2" borderId="4" xfId="1" applyFont="1" applyFill="1" applyBorder="1" applyAlignment="1">
      <alignment vertical="center" wrapText="1" shrinkToFit="1"/>
    </xf>
    <xf numFmtId="164" fontId="2" fillId="2" borderId="6" xfId="1" applyFont="1" applyFill="1" applyBorder="1" applyAlignment="1">
      <alignment vertical="center" wrapText="1" shrinkToFit="1"/>
    </xf>
    <xf numFmtId="4" fontId="2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left" vertical="center" wrapText="1" shrinkToFit="1"/>
    </xf>
    <xf numFmtId="0" fontId="2" fillId="2" borderId="0" xfId="0" applyFont="1" applyFill="1" applyAlignment="1">
      <alignment vertical="center" wrapText="1" shrinkToFit="1"/>
    </xf>
    <xf numFmtId="164" fontId="2" fillId="2" borderId="0" xfId="1" applyFont="1" applyFill="1" applyAlignment="1">
      <alignment horizontal="right" wrapText="1" shrinkToFit="1"/>
    </xf>
    <xf numFmtId="0" fontId="4" fillId="2" borderId="5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/>
    <xf numFmtId="164" fontId="4" fillId="0" borderId="5" xfId="1" applyFont="1" applyFill="1" applyBorder="1" applyAlignment="1">
      <alignment horizontal="right" vertical="center" wrapText="1" shrinkToFi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64" fontId="2" fillId="2" borderId="1" xfId="1" applyFont="1" applyFill="1" applyBorder="1" applyAlignment="1">
      <alignment horizontal="center" vertical="center" wrapText="1" shrinkToFit="1"/>
    </xf>
    <xf numFmtId="164" fontId="2" fillId="2" borderId="4" xfId="1" applyFont="1" applyFill="1" applyBorder="1" applyAlignment="1">
      <alignment horizontal="center" vertical="center" wrapText="1" shrinkToFit="1"/>
    </xf>
    <xf numFmtId="164" fontId="2" fillId="2" borderId="1" xfId="1" applyFont="1" applyFill="1" applyBorder="1" applyAlignment="1">
      <alignment horizontal="right" vertical="center" wrapText="1" shrinkToFit="1"/>
    </xf>
    <xf numFmtId="164" fontId="2" fillId="2" borderId="4" xfId="1" applyFont="1" applyFill="1" applyBorder="1" applyAlignment="1">
      <alignment horizontal="right" vertical="center" wrapText="1" shrinkToFit="1"/>
    </xf>
    <xf numFmtId="0" fontId="2" fillId="2" borderId="4" xfId="0" applyFont="1" applyFill="1" applyBorder="1" applyAlignment="1">
      <alignment horizontal="left" vertical="center"/>
    </xf>
    <xf numFmtId="164" fontId="2" fillId="2" borderId="5" xfId="1" applyFont="1" applyFill="1" applyBorder="1" applyAlignment="1">
      <alignment horizontal="center" vertical="center" wrapText="1" shrinkToFit="1"/>
    </xf>
    <xf numFmtId="164" fontId="2" fillId="2" borderId="5" xfId="1" applyFont="1" applyFill="1" applyBorder="1" applyAlignment="1">
      <alignment horizontal="right" vertical="center" wrapText="1" shrinkToFit="1"/>
    </xf>
    <xf numFmtId="164" fontId="2" fillId="2" borderId="5" xfId="1" applyFont="1" applyFill="1" applyBorder="1" applyAlignment="1">
      <alignment horizontal="center" vertical="center"/>
    </xf>
    <xf numFmtId="164" fontId="2" fillId="2" borderId="6" xfId="1" applyFont="1" applyFill="1" applyBorder="1" applyAlignment="1">
      <alignment horizontal="center" vertical="center" wrapText="1" shrinkToFit="1"/>
    </xf>
    <xf numFmtId="164" fontId="4" fillId="2" borderId="4" xfId="1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left" vertical="center" wrapText="1" shrinkToFit="1"/>
    </xf>
    <xf numFmtId="164" fontId="2" fillId="2" borderId="6" xfId="1" applyFont="1" applyFill="1" applyBorder="1" applyAlignment="1">
      <alignment horizontal="right" vertical="center" wrapText="1" shrinkToFit="1"/>
    </xf>
    <xf numFmtId="0" fontId="4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4" fontId="2" fillId="2" borderId="5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 shrinkToFit="1"/>
    </xf>
    <xf numFmtId="0" fontId="2" fillId="2" borderId="5" xfId="0" applyFont="1" applyFill="1" applyBorder="1" applyAlignment="1">
      <alignment horizontal="center" vertical="center"/>
    </xf>
    <xf numFmtId="43" fontId="7" fillId="2" borderId="0" xfId="0" applyNumberFormat="1" applyFont="1" applyFill="1"/>
    <xf numFmtId="4" fontId="2" fillId="2" borderId="1" xfId="1" applyNumberFormat="1" applyFont="1" applyFill="1" applyBorder="1" applyAlignment="1">
      <alignment horizontal="center" vertical="center"/>
    </xf>
    <xf numFmtId="164" fontId="2" fillId="2" borderId="5" xfId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64" fontId="2" fillId="2" borderId="1" xfId="1" applyFont="1" applyFill="1" applyBorder="1" applyAlignment="1">
      <alignment horizontal="center" vertical="center" wrapText="1" shrinkToFit="1"/>
    </xf>
    <xf numFmtId="164" fontId="2" fillId="2" borderId="4" xfId="1" applyFont="1" applyFill="1" applyBorder="1" applyAlignment="1">
      <alignment horizontal="center" vertical="center" wrapText="1" shrinkToFit="1"/>
    </xf>
    <xf numFmtId="164" fontId="2" fillId="2" borderId="1" xfId="1" applyFont="1" applyFill="1" applyBorder="1" applyAlignment="1">
      <alignment horizontal="right" vertical="center" wrapText="1" shrinkToFit="1"/>
    </xf>
    <xf numFmtId="164" fontId="2" fillId="2" borderId="4" xfId="1" applyFont="1" applyFill="1" applyBorder="1" applyAlignment="1">
      <alignment horizontal="right" vertical="center" wrapText="1" shrinkToFit="1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64" fontId="2" fillId="2" borderId="1" xfId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vertical="center"/>
    </xf>
    <xf numFmtId="164" fontId="2" fillId="2" borderId="5" xfId="1" applyFont="1" applyFill="1" applyBorder="1" applyAlignment="1">
      <alignment horizontal="center" vertical="center" wrapText="1" shrinkToFit="1"/>
    </xf>
    <xf numFmtId="164" fontId="2" fillId="2" borderId="5" xfId="1" applyFont="1" applyFill="1" applyBorder="1" applyAlignment="1">
      <alignment horizontal="right" vertical="center" wrapText="1" shrinkToFit="1"/>
    </xf>
    <xf numFmtId="0" fontId="2" fillId="2" borderId="5" xfId="0" applyFont="1" applyFill="1" applyBorder="1" applyAlignment="1">
      <alignment horizontal="right" vertical="center"/>
    </xf>
    <xf numFmtId="164" fontId="2" fillId="2" borderId="5" xfId="1" applyFont="1" applyFill="1" applyBorder="1" applyAlignment="1">
      <alignment horizontal="center" vertical="center"/>
    </xf>
    <xf numFmtId="164" fontId="2" fillId="2" borderId="6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164" fontId="2" fillId="2" borderId="6" xfId="1" applyFont="1" applyFill="1" applyBorder="1" applyAlignment="1">
      <alignment horizontal="center" vertical="center" wrapText="1" shrinkToFit="1"/>
    </xf>
    <xf numFmtId="164" fontId="2" fillId="2" borderId="1" xfId="1" applyFont="1" applyFill="1" applyBorder="1" applyAlignment="1">
      <alignment horizontal="right" vertical="center"/>
    </xf>
    <xf numFmtId="164" fontId="2" fillId="2" borderId="4" xfId="1" applyFont="1" applyFill="1" applyBorder="1" applyAlignment="1">
      <alignment horizontal="right" vertical="center"/>
    </xf>
    <xf numFmtId="164" fontId="2" fillId="2" borderId="1" xfId="1" applyFont="1" applyFill="1" applyBorder="1" applyAlignment="1">
      <alignment horizontal="left" vertical="center"/>
    </xf>
    <xf numFmtId="164" fontId="2" fillId="2" borderId="4" xfId="1" applyFont="1" applyFill="1" applyBorder="1" applyAlignment="1">
      <alignment horizontal="left" vertical="center"/>
    </xf>
    <xf numFmtId="164" fontId="2" fillId="2" borderId="1" xfId="1" applyFont="1" applyFill="1" applyBorder="1" applyAlignment="1">
      <alignment horizontal="left" vertical="center" wrapText="1" shrinkToFit="1"/>
    </xf>
    <xf numFmtId="164" fontId="2" fillId="2" borderId="4" xfId="1" applyFont="1" applyFill="1" applyBorder="1" applyAlignment="1">
      <alignment horizontal="left" vertical="center" wrapText="1" shrinkToFit="1"/>
    </xf>
    <xf numFmtId="164" fontId="4" fillId="2" borderId="5" xfId="1" applyFont="1" applyFill="1" applyBorder="1" applyAlignment="1">
      <alignment horizontal="center" vertical="center"/>
    </xf>
    <xf numFmtId="164" fontId="5" fillId="2" borderId="5" xfId="1" applyFont="1" applyFill="1" applyBorder="1" applyAlignment="1">
      <alignment horizontal="center" vertical="center"/>
    </xf>
    <xf numFmtId="164" fontId="2" fillId="2" borderId="6" xfId="1" applyFont="1" applyFill="1" applyBorder="1" applyAlignment="1">
      <alignment horizontal="right" vertical="center" wrapText="1" shrinkToFit="1"/>
    </xf>
    <xf numFmtId="164" fontId="4" fillId="2" borderId="1" xfId="1" applyFont="1" applyFill="1" applyBorder="1" applyAlignment="1">
      <alignment horizontal="center" vertical="center"/>
    </xf>
    <xf numFmtId="164" fontId="4" fillId="2" borderId="6" xfId="1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4" fontId="5" fillId="2" borderId="6" xfId="1" applyFont="1" applyFill="1" applyBorder="1" applyAlignment="1">
      <alignment horizontal="center" vertical="center"/>
    </xf>
    <xf numFmtId="164" fontId="5" fillId="2" borderId="4" xfId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right" vertical="center" wrapText="1" shrinkToFit="1"/>
    </xf>
    <xf numFmtId="164" fontId="4" fillId="2" borderId="4" xfId="1" applyFont="1" applyFill="1" applyBorder="1" applyAlignment="1">
      <alignment horizontal="right" vertical="center" wrapText="1" shrinkToFit="1"/>
    </xf>
    <xf numFmtId="0" fontId="4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 shrinkToFit="1"/>
    </xf>
    <xf numFmtId="164" fontId="4" fillId="2" borderId="4" xfId="1" applyFont="1" applyFill="1" applyBorder="1" applyAlignment="1">
      <alignment horizontal="center" vertical="center" wrapText="1" shrinkToFit="1"/>
    </xf>
    <xf numFmtId="164" fontId="3" fillId="2" borderId="0" xfId="1" applyFont="1" applyFill="1" applyAlignment="1">
      <alignment horizontal="center" wrapText="1" shrinkToFit="1"/>
    </xf>
    <xf numFmtId="0" fontId="2" fillId="2" borderId="2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5" xfId="0" applyFont="1" applyFill="1" applyBorder="1" applyAlignment="1">
      <alignment horizontal="left" vertical="center"/>
    </xf>
    <xf numFmtId="4" fontId="2" fillId="2" borderId="1" xfId="1" applyNumberFormat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 shrinkToFit="1"/>
    </xf>
    <xf numFmtId="0" fontId="4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 shrinkToFit="1"/>
    </xf>
    <xf numFmtId="0" fontId="2" fillId="2" borderId="4" xfId="0" applyFont="1" applyFill="1" applyBorder="1" applyAlignment="1">
      <alignment horizontal="left" vertical="center" wrapText="1" shrinkToFit="1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wrapText="1" shrinkToFi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5"/>
  <sheetViews>
    <sheetView zoomScale="112" zoomScaleNormal="112" workbookViewId="0">
      <selection activeCell="D1" sqref="D1:G7"/>
    </sheetView>
  </sheetViews>
  <sheetFormatPr defaultColWidth="9.28515625" defaultRowHeight="12.75"/>
  <cols>
    <col min="1" max="1" width="20.42578125" style="11" customWidth="1"/>
    <col min="2" max="2" width="25.28515625" style="3" customWidth="1"/>
    <col min="3" max="3" width="34.7109375" style="15" customWidth="1"/>
    <col min="4" max="4" width="18.7109375" style="4" customWidth="1"/>
    <col min="5" max="5" width="16" style="5" customWidth="1"/>
    <col min="6" max="6" width="17.5703125" style="5" customWidth="1"/>
    <col min="7" max="7" width="20.7109375" style="12" customWidth="1"/>
    <col min="8" max="8" width="16.42578125" style="3" bestFit="1" customWidth="1"/>
    <col min="9" max="9" width="16.7109375" style="3" customWidth="1"/>
    <col min="10" max="16384" width="9.28515625" style="3"/>
  </cols>
  <sheetData>
    <row r="1" spans="1:7" ht="12.75" customHeight="1">
      <c r="D1" s="111" t="s">
        <v>236</v>
      </c>
      <c r="E1" s="111"/>
      <c r="F1" s="111"/>
      <c r="G1" s="111"/>
    </row>
    <row r="2" spans="1:7" ht="12.75" customHeight="1">
      <c r="D2" s="111"/>
      <c r="E2" s="111"/>
      <c r="F2" s="111"/>
      <c r="G2" s="111"/>
    </row>
    <row r="3" spans="1:7" ht="12.75" customHeight="1">
      <c r="D3" s="111"/>
      <c r="E3" s="111"/>
      <c r="F3" s="111"/>
      <c r="G3" s="111"/>
    </row>
    <row r="4" spans="1:7" ht="12.75" customHeight="1">
      <c r="D4" s="111"/>
      <c r="E4" s="111"/>
      <c r="F4" s="111"/>
      <c r="G4" s="111"/>
    </row>
    <row r="5" spans="1:7" ht="21" customHeight="1">
      <c r="D5" s="111"/>
      <c r="E5" s="111"/>
      <c r="F5" s="111"/>
      <c r="G5" s="111"/>
    </row>
    <row r="6" spans="1:7" ht="30.6" customHeight="1">
      <c r="D6" s="111"/>
      <c r="E6" s="111"/>
      <c r="F6" s="111"/>
      <c r="G6" s="111"/>
    </row>
    <row r="7" spans="1:7" ht="84" customHeight="1">
      <c r="D7" s="111"/>
      <c r="E7" s="111"/>
      <c r="F7" s="111"/>
      <c r="G7" s="111"/>
    </row>
    <row r="8" spans="1:7" ht="55.5" customHeight="1">
      <c r="A8" s="116" t="s">
        <v>232</v>
      </c>
      <c r="B8" s="116"/>
      <c r="C8" s="116"/>
      <c r="D8" s="116"/>
      <c r="E8" s="116"/>
      <c r="F8" s="116"/>
      <c r="G8" s="34"/>
    </row>
    <row r="9" spans="1:7">
      <c r="E9" s="14"/>
      <c r="G9" s="12" t="s">
        <v>233</v>
      </c>
    </row>
    <row r="10" spans="1:7">
      <c r="A10" s="104" t="s">
        <v>36</v>
      </c>
      <c r="B10" s="104" t="s">
        <v>0</v>
      </c>
      <c r="C10" s="105" t="s">
        <v>1</v>
      </c>
      <c r="D10" s="66" t="s">
        <v>2</v>
      </c>
      <c r="E10" s="79" t="s">
        <v>44</v>
      </c>
      <c r="F10" s="79" t="s">
        <v>4</v>
      </c>
      <c r="G10" s="79"/>
    </row>
    <row r="11" spans="1:7" ht="60" customHeight="1">
      <c r="A11" s="104"/>
      <c r="B11" s="104"/>
      <c r="C11" s="105"/>
      <c r="D11" s="68"/>
      <c r="E11" s="79"/>
      <c r="F11" s="47" t="s">
        <v>37</v>
      </c>
      <c r="G11" s="65" t="s">
        <v>6</v>
      </c>
    </row>
    <row r="12" spans="1:7" ht="12.75" customHeight="1">
      <c r="A12" s="66" t="s">
        <v>38</v>
      </c>
      <c r="B12" s="69" t="s">
        <v>70</v>
      </c>
      <c r="C12" s="54" t="s">
        <v>71</v>
      </c>
      <c r="D12" s="66" t="s">
        <v>39</v>
      </c>
      <c r="E12" s="71">
        <f>F12+G12</f>
        <v>2839099.9990000003</v>
      </c>
      <c r="F12" s="71"/>
      <c r="G12" s="73">
        <f>84660+2696735+2696735*0.0214-5.13</f>
        <v>2839099.9990000003</v>
      </c>
    </row>
    <row r="13" spans="1:7">
      <c r="A13" s="67"/>
      <c r="B13" s="70"/>
      <c r="C13" s="54" t="s">
        <v>142</v>
      </c>
      <c r="D13" s="67"/>
      <c r="E13" s="72"/>
      <c r="F13" s="72"/>
      <c r="G13" s="74"/>
    </row>
    <row r="14" spans="1:7">
      <c r="A14" s="67"/>
      <c r="B14" s="69" t="s">
        <v>69</v>
      </c>
      <c r="C14" s="54" t="s">
        <v>52</v>
      </c>
      <c r="D14" s="67"/>
      <c r="E14" s="71">
        <f t="shared" ref="E14:E83" si="0">F14+G14</f>
        <v>4797377.4399999995</v>
      </c>
      <c r="F14" s="71"/>
      <c r="G14" s="73">
        <f>67390+2124000+13731.44+30000+30400+2515956+15900</f>
        <v>4797377.4399999995</v>
      </c>
    </row>
    <row r="15" spans="1:7" ht="25.5">
      <c r="A15" s="67"/>
      <c r="B15" s="103"/>
      <c r="C15" s="60" t="s">
        <v>171</v>
      </c>
      <c r="D15" s="67"/>
      <c r="E15" s="85"/>
      <c r="F15" s="85"/>
      <c r="G15" s="94"/>
    </row>
    <row r="16" spans="1:7">
      <c r="A16" s="67"/>
      <c r="B16" s="103"/>
      <c r="C16" s="60" t="s">
        <v>132</v>
      </c>
      <c r="D16" s="67"/>
      <c r="E16" s="85"/>
      <c r="F16" s="85"/>
      <c r="G16" s="94"/>
    </row>
    <row r="17" spans="1:7">
      <c r="A17" s="67"/>
      <c r="B17" s="103"/>
      <c r="C17" s="60" t="s">
        <v>195</v>
      </c>
      <c r="D17" s="67"/>
      <c r="E17" s="85"/>
      <c r="F17" s="85"/>
      <c r="G17" s="94"/>
    </row>
    <row r="18" spans="1:7">
      <c r="A18" s="67"/>
      <c r="B18" s="70"/>
      <c r="C18" s="54" t="s">
        <v>172</v>
      </c>
      <c r="D18" s="67"/>
      <c r="E18" s="72"/>
      <c r="F18" s="72"/>
      <c r="G18" s="74"/>
    </row>
    <row r="19" spans="1:7">
      <c r="A19" s="67"/>
      <c r="B19" s="60" t="s">
        <v>140</v>
      </c>
      <c r="C19" s="54" t="s">
        <v>134</v>
      </c>
      <c r="D19" s="67"/>
      <c r="E19" s="47">
        <f t="shared" si="0"/>
        <v>106012.57</v>
      </c>
      <c r="F19" s="47"/>
      <c r="G19" s="48">
        <v>106012.57</v>
      </c>
    </row>
    <row r="20" spans="1:7">
      <c r="A20" s="67"/>
      <c r="B20" s="56" t="s">
        <v>146</v>
      </c>
      <c r="C20" s="54" t="s">
        <v>52</v>
      </c>
      <c r="D20" s="67"/>
      <c r="E20" s="71">
        <f t="shared" si="0"/>
        <v>837330</v>
      </c>
      <c r="F20" s="71"/>
      <c r="G20" s="73">
        <f>542110+295220</f>
        <v>837330</v>
      </c>
    </row>
    <row r="21" spans="1:7">
      <c r="A21" s="67"/>
      <c r="B21" s="56"/>
      <c r="C21" s="54" t="s">
        <v>109</v>
      </c>
      <c r="D21" s="67"/>
      <c r="E21" s="72"/>
      <c r="F21" s="72"/>
      <c r="G21" s="74"/>
    </row>
    <row r="22" spans="1:7">
      <c r="A22" s="67"/>
      <c r="B22" s="69" t="s">
        <v>67</v>
      </c>
      <c r="C22" s="54" t="s">
        <v>68</v>
      </c>
      <c r="D22" s="67"/>
      <c r="E22" s="71">
        <f t="shared" si="0"/>
        <v>2396743.1000000006</v>
      </c>
      <c r="F22" s="71"/>
      <c r="G22" s="73">
        <f>2160173.64+302735.97-66166.51</f>
        <v>2396743.1000000006</v>
      </c>
    </row>
    <row r="23" spans="1:7">
      <c r="A23" s="67"/>
      <c r="B23" s="103"/>
      <c r="C23" s="54" t="s">
        <v>142</v>
      </c>
      <c r="D23" s="67"/>
      <c r="E23" s="85"/>
      <c r="F23" s="85"/>
      <c r="G23" s="94"/>
    </row>
    <row r="24" spans="1:7">
      <c r="A24" s="67"/>
      <c r="B24" s="103"/>
      <c r="C24" s="54" t="s">
        <v>190</v>
      </c>
      <c r="D24" s="67"/>
      <c r="E24" s="85"/>
      <c r="F24" s="85"/>
      <c r="G24" s="94"/>
    </row>
    <row r="25" spans="1:7">
      <c r="A25" s="67"/>
      <c r="B25" s="70"/>
      <c r="C25" s="54" t="s">
        <v>144</v>
      </c>
      <c r="D25" s="67"/>
      <c r="E25" s="72"/>
      <c r="F25" s="72"/>
      <c r="G25" s="74"/>
    </row>
    <row r="26" spans="1:7">
      <c r="A26" s="67"/>
      <c r="B26" s="69" t="s">
        <v>72</v>
      </c>
      <c r="C26" s="54" t="s">
        <v>52</v>
      </c>
      <c r="D26" s="67"/>
      <c r="E26" s="71">
        <f t="shared" si="0"/>
        <v>463380.53</v>
      </c>
      <c r="F26" s="71"/>
      <c r="G26" s="73">
        <f>90000+110454+262926.53</f>
        <v>463380.53</v>
      </c>
    </row>
    <row r="27" spans="1:7">
      <c r="A27" s="67"/>
      <c r="B27" s="70"/>
      <c r="C27" s="54" t="s">
        <v>73</v>
      </c>
      <c r="D27" s="67"/>
      <c r="E27" s="72">
        <f t="shared" si="0"/>
        <v>0</v>
      </c>
      <c r="F27" s="72"/>
      <c r="G27" s="74"/>
    </row>
    <row r="28" spans="1:7">
      <c r="A28" s="67"/>
      <c r="B28" s="60" t="s">
        <v>130</v>
      </c>
      <c r="C28" s="54" t="s">
        <v>226</v>
      </c>
      <c r="D28" s="67"/>
      <c r="E28" s="43">
        <f t="shared" si="0"/>
        <v>600244.37</v>
      </c>
      <c r="F28" s="43"/>
      <c r="G28" s="45">
        <f>413713.19+186531.18</f>
        <v>600244.37</v>
      </c>
    </row>
    <row r="29" spans="1:7">
      <c r="A29" s="67"/>
      <c r="B29" s="69" t="s">
        <v>74</v>
      </c>
      <c r="C29" s="54" t="s">
        <v>52</v>
      </c>
      <c r="D29" s="67"/>
      <c r="E29" s="71">
        <f>G29</f>
        <v>6877775.0002000006</v>
      </c>
      <c r="F29" s="71"/>
      <c r="G29" s="73">
        <f>7290643+77904.95+7290643*0.0214-67.71-646725</f>
        <v>6877775.0002000006</v>
      </c>
    </row>
    <row r="30" spans="1:7">
      <c r="A30" s="67"/>
      <c r="B30" s="70"/>
      <c r="C30" s="54" t="s">
        <v>142</v>
      </c>
      <c r="D30" s="67"/>
      <c r="E30" s="72"/>
      <c r="F30" s="72"/>
      <c r="G30" s="74"/>
    </row>
    <row r="31" spans="1:7">
      <c r="A31" s="67"/>
      <c r="B31" s="56" t="s">
        <v>192</v>
      </c>
      <c r="C31" s="54" t="s">
        <v>193</v>
      </c>
      <c r="D31" s="67"/>
      <c r="E31" s="50">
        <f>G31</f>
        <v>398241.26</v>
      </c>
      <c r="F31" s="50"/>
      <c r="G31" s="55">
        <v>398241.26</v>
      </c>
    </row>
    <row r="32" spans="1:7">
      <c r="A32" s="67"/>
      <c r="B32" s="106" t="s">
        <v>75</v>
      </c>
      <c r="C32" s="54" t="s">
        <v>52</v>
      </c>
      <c r="D32" s="67"/>
      <c r="E32" s="71">
        <f t="shared" si="0"/>
        <v>7037060</v>
      </c>
      <c r="F32" s="73"/>
      <c r="G32" s="73">
        <f>110000+304500+20000+2214000+4388560</f>
        <v>7037060</v>
      </c>
    </row>
    <row r="33" spans="1:7">
      <c r="A33" s="67"/>
      <c r="B33" s="107"/>
      <c r="C33" s="54" t="s">
        <v>174</v>
      </c>
      <c r="D33" s="67"/>
      <c r="E33" s="85"/>
      <c r="F33" s="94"/>
      <c r="G33" s="94"/>
    </row>
    <row r="34" spans="1:7" ht="25.5">
      <c r="A34" s="67"/>
      <c r="B34" s="107"/>
      <c r="C34" s="54" t="s">
        <v>210</v>
      </c>
      <c r="D34" s="67"/>
      <c r="E34" s="85"/>
      <c r="F34" s="94"/>
      <c r="G34" s="94"/>
    </row>
    <row r="35" spans="1:7">
      <c r="A35" s="67"/>
      <c r="B35" s="107"/>
      <c r="C35" s="54" t="s">
        <v>142</v>
      </c>
      <c r="D35" s="67"/>
      <c r="E35" s="85"/>
      <c r="F35" s="94"/>
      <c r="G35" s="94"/>
    </row>
    <row r="36" spans="1:7">
      <c r="A36" s="67"/>
      <c r="B36" s="108"/>
      <c r="C36" s="54" t="s">
        <v>194</v>
      </c>
      <c r="D36" s="67"/>
      <c r="E36" s="72">
        <f t="shared" si="0"/>
        <v>0</v>
      </c>
      <c r="F36" s="74"/>
      <c r="G36" s="74"/>
    </row>
    <row r="37" spans="1:7">
      <c r="A37" s="67"/>
      <c r="B37" s="69" t="s">
        <v>76</v>
      </c>
      <c r="C37" s="54" t="s">
        <v>52</v>
      </c>
      <c r="D37" s="67"/>
      <c r="E37" s="71">
        <f t="shared" si="0"/>
        <v>528669.09000000008</v>
      </c>
      <c r="F37" s="71"/>
      <c r="G37" s="73">
        <f>182100+346569.09</f>
        <v>528669.09000000008</v>
      </c>
    </row>
    <row r="38" spans="1:7">
      <c r="A38" s="67"/>
      <c r="B38" s="70"/>
      <c r="C38" s="54" t="s">
        <v>174</v>
      </c>
      <c r="D38" s="67"/>
      <c r="E38" s="72"/>
      <c r="F38" s="72"/>
      <c r="G38" s="74"/>
    </row>
    <row r="39" spans="1:7">
      <c r="A39" s="67"/>
      <c r="B39" s="69" t="s">
        <v>77</v>
      </c>
      <c r="C39" s="54" t="s">
        <v>174</v>
      </c>
      <c r="D39" s="67"/>
      <c r="E39" s="71">
        <f>G39</f>
        <v>779855.56</v>
      </c>
      <c r="F39" s="71"/>
      <c r="G39" s="73">
        <f>395055.92+328946.36+55853.28</f>
        <v>779855.56</v>
      </c>
    </row>
    <row r="40" spans="1:7">
      <c r="A40" s="67"/>
      <c r="B40" s="103"/>
      <c r="C40" s="61" t="s">
        <v>109</v>
      </c>
      <c r="D40" s="67"/>
      <c r="E40" s="85"/>
      <c r="F40" s="85"/>
      <c r="G40" s="94"/>
    </row>
    <row r="41" spans="1:7" ht="18.75" customHeight="1">
      <c r="A41" s="67"/>
      <c r="B41" s="70"/>
      <c r="C41" s="54" t="s">
        <v>78</v>
      </c>
      <c r="D41" s="67"/>
      <c r="E41" s="72"/>
      <c r="F41" s="72"/>
      <c r="G41" s="74"/>
    </row>
    <row r="42" spans="1:7">
      <c r="A42" s="67"/>
      <c r="B42" s="106" t="s">
        <v>48</v>
      </c>
      <c r="C42" s="54" t="s">
        <v>79</v>
      </c>
      <c r="D42" s="67"/>
      <c r="E42" s="71">
        <f t="shared" si="0"/>
        <v>261595.26</v>
      </c>
      <c r="F42" s="71"/>
      <c r="G42" s="73">
        <f>207200+54395.26</f>
        <v>261595.26</v>
      </c>
    </row>
    <row r="43" spans="1:7" ht="25.5">
      <c r="A43" s="67"/>
      <c r="B43" s="108"/>
      <c r="C43" s="54" t="s">
        <v>167</v>
      </c>
      <c r="D43" s="67"/>
      <c r="E43" s="72"/>
      <c r="F43" s="72"/>
      <c r="G43" s="74"/>
    </row>
    <row r="44" spans="1:7">
      <c r="A44" s="67"/>
      <c r="B44" s="106" t="s">
        <v>40</v>
      </c>
      <c r="C44" s="54" t="s">
        <v>46</v>
      </c>
      <c r="D44" s="67"/>
      <c r="E44" s="109">
        <f>F44+G44</f>
        <v>4106050</v>
      </c>
      <c r="F44" s="101"/>
      <c r="G44" s="101">
        <f>4026050+80000</f>
        <v>4106050</v>
      </c>
    </row>
    <row r="45" spans="1:7">
      <c r="A45" s="67"/>
      <c r="B45" s="108"/>
      <c r="C45" s="54" t="s">
        <v>52</v>
      </c>
      <c r="D45" s="67"/>
      <c r="E45" s="110"/>
      <c r="F45" s="102"/>
      <c r="G45" s="102"/>
    </row>
    <row r="46" spans="1:7" ht="12.75" customHeight="1">
      <c r="A46" s="67"/>
      <c r="B46" s="69" t="s">
        <v>80</v>
      </c>
      <c r="C46" s="54" t="s">
        <v>100</v>
      </c>
      <c r="D46" s="67"/>
      <c r="E46" s="71">
        <f t="shared" si="0"/>
        <v>378021</v>
      </c>
      <c r="F46" s="71"/>
      <c r="G46" s="73">
        <f>78640+299381</f>
        <v>378021</v>
      </c>
    </row>
    <row r="47" spans="1:7" ht="12.75" customHeight="1">
      <c r="A47" s="67"/>
      <c r="B47" s="70"/>
      <c r="C47" s="54" t="s">
        <v>196</v>
      </c>
      <c r="D47" s="67"/>
      <c r="E47" s="72"/>
      <c r="F47" s="72"/>
      <c r="G47" s="74"/>
    </row>
    <row r="48" spans="1:7">
      <c r="A48" s="67"/>
      <c r="B48" s="69" t="s">
        <v>81</v>
      </c>
      <c r="C48" s="54" t="s">
        <v>52</v>
      </c>
      <c r="D48" s="67"/>
      <c r="E48" s="71">
        <f t="shared" si="0"/>
        <v>121698.77</v>
      </c>
      <c r="F48" s="73"/>
      <c r="G48" s="73">
        <v>121698.77</v>
      </c>
    </row>
    <row r="49" spans="1:7">
      <c r="A49" s="67"/>
      <c r="B49" s="70"/>
      <c r="C49" s="54" t="s">
        <v>82</v>
      </c>
      <c r="D49" s="67"/>
      <c r="E49" s="72">
        <f t="shared" si="0"/>
        <v>0</v>
      </c>
      <c r="F49" s="74"/>
      <c r="G49" s="74"/>
    </row>
    <row r="50" spans="1:7">
      <c r="A50" s="67"/>
      <c r="B50" s="69" t="s">
        <v>83</v>
      </c>
      <c r="C50" s="54" t="s">
        <v>52</v>
      </c>
      <c r="D50" s="67"/>
      <c r="E50" s="71">
        <f t="shared" si="0"/>
        <v>1461116.45</v>
      </c>
      <c r="F50" s="71"/>
      <c r="G50" s="73">
        <f>113700+442888.36+772347.33+132180.76</f>
        <v>1461116.45</v>
      </c>
    </row>
    <row r="51" spans="1:7">
      <c r="A51" s="67"/>
      <c r="B51" s="103"/>
      <c r="C51" s="54" t="s">
        <v>197</v>
      </c>
      <c r="D51" s="67"/>
      <c r="E51" s="85"/>
      <c r="F51" s="85"/>
      <c r="G51" s="94"/>
    </row>
    <row r="52" spans="1:7">
      <c r="A52" s="67"/>
      <c r="B52" s="70"/>
      <c r="C52" s="54" t="s">
        <v>206</v>
      </c>
      <c r="D52" s="67"/>
      <c r="E52" s="72"/>
      <c r="F52" s="72"/>
      <c r="G52" s="74"/>
    </row>
    <row r="53" spans="1:7">
      <c r="A53" s="67"/>
      <c r="B53" s="69" t="s">
        <v>84</v>
      </c>
      <c r="C53" s="54" t="s">
        <v>73</v>
      </c>
      <c r="D53" s="67"/>
      <c r="E53" s="71">
        <f t="shared" si="0"/>
        <v>465720.49</v>
      </c>
      <c r="F53" s="71"/>
      <c r="G53" s="73">
        <f>168000+297720.49</f>
        <v>465720.49</v>
      </c>
    </row>
    <row r="54" spans="1:7">
      <c r="A54" s="67"/>
      <c r="B54" s="103"/>
      <c r="C54" s="54" t="s">
        <v>198</v>
      </c>
      <c r="D54" s="67"/>
      <c r="E54" s="85"/>
      <c r="F54" s="85"/>
      <c r="G54" s="94"/>
    </row>
    <row r="55" spans="1:7">
      <c r="A55" s="67"/>
      <c r="B55" s="70"/>
      <c r="C55" s="54" t="s">
        <v>141</v>
      </c>
      <c r="D55" s="67"/>
      <c r="E55" s="72"/>
      <c r="F55" s="72"/>
      <c r="G55" s="74"/>
    </row>
    <row r="56" spans="1:7">
      <c r="A56" s="67"/>
      <c r="B56" s="69" t="s">
        <v>85</v>
      </c>
      <c r="C56" s="54" t="s">
        <v>73</v>
      </c>
      <c r="D56" s="67"/>
      <c r="E56" s="71">
        <f t="shared" si="0"/>
        <v>2280800</v>
      </c>
      <c r="F56" s="73"/>
      <c r="G56" s="73">
        <f>117000+2163800</f>
        <v>2280800</v>
      </c>
    </row>
    <row r="57" spans="1:7">
      <c r="A57" s="67"/>
      <c r="B57" s="103"/>
      <c r="C57" s="54" t="s">
        <v>209</v>
      </c>
      <c r="D57" s="67"/>
      <c r="E57" s="85"/>
      <c r="F57" s="94"/>
      <c r="G57" s="94"/>
    </row>
    <row r="58" spans="1:7">
      <c r="A58" s="67"/>
      <c r="B58" s="70"/>
      <c r="C58" s="54" t="s">
        <v>86</v>
      </c>
      <c r="D58" s="67"/>
      <c r="E58" s="72"/>
      <c r="F58" s="74"/>
      <c r="G58" s="74"/>
    </row>
    <row r="59" spans="1:7">
      <c r="A59" s="67"/>
      <c r="B59" s="41" t="s">
        <v>87</v>
      </c>
      <c r="C59" s="54" t="s">
        <v>52</v>
      </c>
      <c r="D59" s="67"/>
      <c r="E59" s="47">
        <f t="shared" si="0"/>
        <v>77300</v>
      </c>
      <c r="F59" s="47"/>
      <c r="G59" s="45">
        <v>77300</v>
      </c>
    </row>
    <row r="60" spans="1:7">
      <c r="A60" s="67"/>
      <c r="B60" s="41" t="s">
        <v>58</v>
      </c>
      <c r="C60" s="54" t="s">
        <v>133</v>
      </c>
      <c r="D60" s="67"/>
      <c r="E60" s="47">
        <f t="shared" si="0"/>
        <v>303546.21000000002</v>
      </c>
      <c r="F60" s="47"/>
      <c r="G60" s="45">
        <f>247294.39+56521.82-270</f>
        <v>303546.21000000002</v>
      </c>
    </row>
    <row r="61" spans="1:7">
      <c r="A61" s="67"/>
      <c r="B61" s="69" t="s">
        <v>105</v>
      </c>
      <c r="C61" s="54" t="s">
        <v>106</v>
      </c>
      <c r="D61" s="67"/>
      <c r="E61" s="71">
        <f t="shared" si="0"/>
        <v>1204683.22</v>
      </c>
      <c r="F61" s="71"/>
      <c r="G61" s="73">
        <v>1204683.22</v>
      </c>
    </row>
    <row r="62" spans="1:7">
      <c r="A62" s="67"/>
      <c r="B62" s="103"/>
      <c r="C62" s="54" t="s">
        <v>52</v>
      </c>
      <c r="D62" s="67"/>
      <c r="E62" s="85"/>
      <c r="F62" s="85"/>
      <c r="G62" s="94"/>
    </row>
    <row r="63" spans="1:7">
      <c r="A63" s="67"/>
      <c r="B63" s="103"/>
      <c r="C63" s="54" t="s">
        <v>160</v>
      </c>
      <c r="D63" s="67"/>
      <c r="E63" s="85"/>
      <c r="F63" s="85"/>
      <c r="G63" s="94"/>
    </row>
    <row r="64" spans="1:7">
      <c r="A64" s="67"/>
      <c r="B64" s="70"/>
      <c r="C64" s="54" t="s">
        <v>143</v>
      </c>
      <c r="D64" s="67"/>
      <c r="E64" s="72"/>
      <c r="F64" s="72"/>
      <c r="G64" s="74"/>
    </row>
    <row r="65" spans="1:7" ht="25.5">
      <c r="A65" s="67"/>
      <c r="B65" s="41" t="s">
        <v>128</v>
      </c>
      <c r="C65" s="54" t="s">
        <v>199</v>
      </c>
      <c r="D65" s="67"/>
      <c r="E65" s="47">
        <f t="shared" si="0"/>
        <v>151019.03</v>
      </c>
      <c r="F65" s="43"/>
      <c r="G65" s="45">
        <f>111498.72+39520.31</f>
        <v>151019.03</v>
      </c>
    </row>
    <row r="66" spans="1:7">
      <c r="A66" s="67"/>
      <c r="B66" s="41" t="s">
        <v>177</v>
      </c>
      <c r="C66" s="54" t="s">
        <v>174</v>
      </c>
      <c r="D66" s="67"/>
      <c r="E66" s="47">
        <f t="shared" si="0"/>
        <v>378556</v>
      </c>
      <c r="F66" s="47"/>
      <c r="G66" s="45">
        <v>378556</v>
      </c>
    </row>
    <row r="67" spans="1:7">
      <c r="A67" s="67"/>
      <c r="B67" s="41" t="s">
        <v>181</v>
      </c>
      <c r="C67" s="54" t="s">
        <v>52</v>
      </c>
      <c r="D67" s="67"/>
      <c r="E67" s="47">
        <f t="shared" si="0"/>
        <v>98400</v>
      </c>
      <c r="F67" s="47"/>
      <c r="G67" s="45">
        <v>98400</v>
      </c>
    </row>
    <row r="68" spans="1:7">
      <c r="A68" s="67"/>
      <c r="B68" s="69" t="s">
        <v>205</v>
      </c>
      <c r="C68" s="54" t="s">
        <v>174</v>
      </c>
      <c r="D68" s="67"/>
      <c r="E68" s="71">
        <f t="shared" si="0"/>
        <v>1282930.5899999999</v>
      </c>
      <c r="F68" s="71"/>
      <c r="G68" s="73">
        <f>294077.98+278112.61+710740</f>
        <v>1282930.5899999999</v>
      </c>
    </row>
    <row r="69" spans="1:7">
      <c r="A69" s="67"/>
      <c r="B69" s="70"/>
      <c r="C69" s="54" t="s">
        <v>216</v>
      </c>
      <c r="D69" s="67"/>
      <c r="E69" s="72"/>
      <c r="F69" s="72"/>
      <c r="G69" s="74"/>
    </row>
    <row r="70" spans="1:7">
      <c r="A70" s="67"/>
      <c r="B70" s="41" t="s">
        <v>211</v>
      </c>
      <c r="C70" s="54" t="s">
        <v>212</v>
      </c>
      <c r="D70" s="67"/>
      <c r="E70" s="47">
        <f>G70</f>
        <v>550100</v>
      </c>
      <c r="F70" s="47"/>
      <c r="G70" s="48">
        <v>550100</v>
      </c>
    </row>
    <row r="71" spans="1:7">
      <c r="A71" s="67"/>
      <c r="B71" s="69" t="s">
        <v>176</v>
      </c>
      <c r="C71" s="54" t="str">
        <f>C85</f>
        <v>Монтаж узла учета</v>
      </c>
      <c r="D71" s="67"/>
      <c r="E71" s="71">
        <f t="shared" si="0"/>
        <v>401872.06</v>
      </c>
      <c r="F71" s="71"/>
      <c r="G71" s="73">
        <f>296739.19+105132.87</f>
        <v>401872.06</v>
      </c>
    </row>
    <row r="72" spans="1:7">
      <c r="A72" s="67"/>
      <c r="B72" s="70"/>
      <c r="C72" s="54" t="s">
        <v>52</v>
      </c>
      <c r="D72" s="67"/>
      <c r="E72" s="72"/>
      <c r="F72" s="72"/>
      <c r="G72" s="74"/>
    </row>
    <row r="73" spans="1:7">
      <c r="A73" s="67"/>
      <c r="B73" s="40" t="s">
        <v>88</v>
      </c>
      <c r="C73" s="54" t="s">
        <v>52</v>
      </c>
      <c r="D73" s="67"/>
      <c r="E73" s="42">
        <f t="shared" si="0"/>
        <v>306585.03999999998</v>
      </c>
      <c r="F73" s="42"/>
      <c r="G73" s="44">
        <f>102185.04+204400</f>
        <v>306585.03999999998</v>
      </c>
    </row>
    <row r="74" spans="1:7">
      <c r="A74" s="67"/>
      <c r="B74" s="56" t="s">
        <v>182</v>
      </c>
      <c r="C74" s="54" t="s">
        <v>52</v>
      </c>
      <c r="D74" s="67"/>
      <c r="E74" s="47">
        <f t="shared" si="0"/>
        <v>250000</v>
      </c>
      <c r="F74" s="47"/>
      <c r="G74" s="48">
        <v>250000</v>
      </c>
    </row>
    <row r="75" spans="1:7">
      <c r="A75" s="67"/>
      <c r="B75" s="69" t="s">
        <v>90</v>
      </c>
      <c r="C75" s="54" t="s">
        <v>52</v>
      </c>
      <c r="D75" s="67"/>
      <c r="E75" s="79">
        <f t="shared" si="0"/>
        <v>360827.38</v>
      </c>
      <c r="F75" s="79"/>
      <c r="G75" s="80">
        <f>34911.34+244430.2+81485.84</f>
        <v>360827.38</v>
      </c>
    </row>
    <row r="76" spans="1:7">
      <c r="A76" s="67"/>
      <c r="B76" s="70"/>
      <c r="C76" s="54" t="s">
        <v>164</v>
      </c>
      <c r="D76" s="67"/>
      <c r="E76" s="79"/>
      <c r="F76" s="79"/>
      <c r="G76" s="80"/>
    </row>
    <row r="77" spans="1:7">
      <c r="A77" s="67"/>
      <c r="B77" s="69" t="s">
        <v>107</v>
      </c>
      <c r="C77" s="54" t="s">
        <v>52</v>
      </c>
      <c r="D77" s="67"/>
      <c r="E77" s="79">
        <f t="shared" si="0"/>
        <v>640154.63</v>
      </c>
      <c r="F77" s="79"/>
      <c r="G77" s="80">
        <f>150000+395007.59-4628.06+99775.1</f>
        <v>640154.63</v>
      </c>
    </row>
    <row r="78" spans="1:7">
      <c r="A78" s="67"/>
      <c r="B78" s="103"/>
      <c r="C78" s="54" t="s">
        <v>231</v>
      </c>
      <c r="D78" s="67"/>
      <c r="E78" s="79"/>
      <c r="F78" s="79"/>
      <c r="G78" s="80"/>
    </row>
    <row r="79" spans="1:7">
      <c r="A79" s="67"/>
      <c r="B79" s="70"/>
      <c r="C79" s="54" t="s">
        <v>206</v>
      </c>
      <c r="D79" s="67"/>
      <c r="E79" s="79"/>
      <c r="F79" s="79"/>
      <c r="G79" s="80"/>
    </row>
    <row r="80" spans="1:7">
      <c r="A80" s="67"/>
      <c r="B80" s="41" t="s">
        <v>59</v>
      </c>
      <c r="C80" s="54" t="s">
        <v>198</v>
      </c>
      <c r="D80" s="67"/>
      <c r="E80" s="47">
        <f t="shared" si="0"/>
        <v>268000</v>
      </c>
      <c r="F80" s="47"/>
      <c r="G80" s="48">
        <v>268000</v>
      </c>
    </row>
    <row r="81" spans="1:9" ht="25.5">
      <c r="A81" s="67"/>
      <c r="B81" s="41" t="s">
        <v>136</v>
      </c>
      <c r="C81" s="54" t="s">
        <v>217</v>
      </c>
      <c r="D81" s="67"/>
      <c r="E81" s="47">
        <f>G81</f>
        <v>102438.05</v>
      </c>
      <c r="F81" s="47"/>
      <c r="G81" s="39">
        <v>102438.05</v>
      </c>
    </row>
    <row r="82" spans="1:9">
      <c r="A82" s="67"/>
      <c r="B82" s="41" t="s">
        <v>173</v>
      </c>
      <c r="C82" s="54" t="s">
        <v>215</v>
      </c>
      <c r="D82" s="67"/>
      <c r="E82" s="47">
        <f t="shared" si="0"/>
        <v>82200</v>
      </c>
      <c r="F82" s="47"/>
      <c r="G82" s="48">
        <f>47100-15900+51000</f>
        <v>82200</v>
      </c>
    </row>
    <row r="83" spans="1:9" ht="25.5">
      <c r="A83" s="67"/>
      <c r="B83" s="41" t="s">
        <v>178</v>
      </c>
      <c r="C83" s="54" t="s">
        <v>179</v>
      </c>
      <c r="D83" s="67"/>
      <c r="E83" s="47">
        <f t="shared" si="0"/>
        <v>279680</v>
      </c>
      <c r="F83" s="47"/>
      <c r="G83" s="48">
        <v>279680</v>
      </c>
    </row>
    <row r="84" spans="1:9">
      <c r="A84" s="67"/>
      <c r="B84" s="69" t="s">
        <v>89</v>
      </c>
      <c r="C84" s="54" t="s">
        <v>52</v>
      </c>
      <c r="D84" s="67"/>
      <c r="E84" s="79">
        <f>G84</f>
        <v>699404.26</v>
      </c>
      <c r="F84" s="79"/>
      <c r="G84" s="80">
        <f>444592+80400+174412.26</f>
        <v>699404.26</v>
      </c>
    </row>
    <row r="85" spans="1:9">
      <c r="A85" s="67"/>
      <c r="B85" s="103"/>
      <c r="C85" s="54" t="s">
        <v>206</v>
      </c>
      <c r="D85" s="67"/>
      <c r="E85" s="79"/>
      <c r="F85" s="79"/>
      <c r="G85" s="80"/>
    </row>
    <row r="86" spans="1:9">
      <c r="A86" s="67"/>
      <c r="B86" s="70"/>
      <c r="C86" s="54" t="s">
        <v>143</v>
      </c>
      <c r="D86" s="68"/>
      <c r="E86" s="79"/>
      <c r="F86" s="79"/>
      <c r="G86" s="80"/>
    </row>
    <row r="87" spans="1:9" ht="114.75">
      <c r="A87" s="67"/>
      <c r="B87" s="60" t="s">
        <v>48</v>
      </c>
      <c r="C87" s="54" t="s">
        <v>49</v>
      </c>
      <c r="D87" s="53" t="s">
        <v>50</v>
      </c>
      <c r="E87" s="48">
        <f>F87+G87</f>
        <v>1280300</v>
      </c>
      <c r="F87" s="47">
        <f>1436400-50000-156100</f>
        <v>1230300</v>
      </c>
      <c r="G87" s="48">
        <v>50000</v>
      </c>
    </row>
    <row r="88" spans="1:9">
      <c r="A88" s="67"/>
      <c r="B88" s="112" t="s">
        <v>35</v>
      </c>
      <c r="C88" s="113"/>
      <c r="D88" s="114"/>
      <c r="E88" s="13">
        <f>SUM(E12:E87)</f>
        <v>45454787.359200001</v>
      </c>
      <c r="F88" s="13">
        <f>SUM(F12:F87)</f>
        <v>1230300</v>
      </c>
      <c r="G88" s="13">
        <f>SUM(G12:G87)</f>
        <v>44224487.359200001</v>
      </c>
      <c r="H88" s="22"/>
      <c r="I88" s="22"/>
    </row>
    <row r="89" spans="1:9">
      <c r="A89" s="68"/>
      <c r="B89" s="81" t="s">
        <v>41</v>
      </c>
      <c r="C89" s="81"/>
      <c r="D89" s="81"/>
      <c r="E89" s="13">
        <f>E42</f>
        <v>261595.26</v>
      </c>
      <c r="F89" s="13">
        <f>F42</f>
        <v>0</v>
      </c>
      <c r="G89" s="13">
        <f>G42</f>
        <v>261595.26</v>
      </c>
      <c r="H89" s="22"/>
      <c r="I89" s="22"/>
    </row>
    <row r="90" spans="1:9">
      <c r="A90" s="104" t="s">
        <v>45</v>
      </c>
      <c r="B90" s="117" t="s">
        <v>10</v>
      </c>
      <c r="C90" s="60" t="s">
        <v>47</v>
      </c>
      <c r="D90" s="66" t="s">
        <v>39</v>
      </c>
      <c r="E90" s="82">
        <f t="shared" ref="E90:E149" si="1">F90+G90</f>
        <v>6851986.5900000008</v>
      </c>
      <c r="F90" s="93"/>
      <c r="G90" s="92">
        <f>7558276.7-1100108.63+70006+44004.61+17065+20303+100000+242439.91-100000</f>
        <v>6851986.5900000008</v>
      </c>
      <c r="H90" s="22"/>
      <c r="I90" s="22"/>
    </row>
    <row r="91" spans="1:9" ht="25.5">
      <c r="A91" s="104"/>
      <c r="B91" s="117"/>
      <c r="C91" s="60" t="s">
        <v>155</v>
      </c>
      <c r="D91" s="67"/>
      <c r="E91" s="82"/>
      <c r="F91" s="93"/>
      <c r="G91" s="92"/>
      <c r="H91" s="22"/>
      <c r="I91" s="22"/>
    </row>
    <row r="92" spans="1:9">
      <c r="A92" s="104"/>
      <c r="B92" s="117"/>
      <c r="C92" s="60" t="s">
        <v>218</v>
      </c>
      <c r="D92" s="67"/>
      <c r="E92" s="82"/>
      <c r="F92" s="93"/>
      <c r="G92" s="92"/>
      <c r="H92" s="22"/>
      <c r="I92" s="22"/>
    </row>
    <row r="93" spans="1:9">
      <c r="A93" s="104"/>
      <c r="B93" s="117"/>
      <c r="C93" s="60" t="s">
        <v>156</v>
      </c>
      <c r="D93" s="67"/>
      <c r="E93" s="82"/>
      <c r="F93" s="93"/>
      <c r="G93" s="92"/>
      <c r="H93" s="22"/>
      <c r="I93" s="22"/>
    </row>
    <row r="94" spans="1:9">
      <c r="A94" s="104"/>
      <c r="B94" s="117"/>
      <c r="C94" s="60" t="s">
        <v>157</v>
      </c>
      <c r="D94" s="67"/>
      <c r="E94" s="82"/>
      <c r="F94" s="93"/>
      <c r="G94" s="92"/>
      <c r="H94" s="22"/>
      <c r="I94" s="22"/>
    </row>
    <row r="95" spans="1:9" ht="13.5" customHeight="1">
      <c r="A95" s="104"/>
      <c r="B95" s="117"/>
      <c r="C95" s="60" t="s">
        <v>52</v>
      </c>
      <c r="D95" s="67"/>
      <c r="E95" s="82"/>
      <c r="F95" s="93"/>
      <c r="G95" s="92"/>
      <c r="H95" s="22"/>
    </row>
    <row r="96" spans="1:9" ht="13.5" customHeight="1">
      <c r="A96" s="104"/>
      <c r="B96" s="117" t="s">
        <v>119</v>
      </c>
      <c r="C96" s="60" t="s">
        <v>120</v>
      </c>
      <c r="D96" s="67"/>
      <c r="E96" s="77">
        <f t="shared" si="1"/>
        <v>786898.42999999993</v>
      </c>
      <c r="F96" s="98"/>
      <c r="G96" s="95">
        <f>27807.18+41685.3+703400+14005.95</f>
        <v>786898.42999999993</v>
      </c>
    </row>
    <row r="97" spans="1:7" ht="13.5" customHeight="1">
      <c r="A97" s="104"/>
      <c r="B97" s="117"/>
      <c r="C97" s="60" t="s">
        <v>213</v>
      </c>
      <c r="D97" s="67"/>
      <c r="E97" s="78"/>
      <c r="F97" s="100"/>
      <c r="G97" s="97"/>
    </row>
    <row r="98" spans="1:7" ht="13.5" customHeight="1">
      <c r="A98" s="104"/>
      <c r="B98" s="84" t="s">
        <v>149</v>
      </c>
      <c r="C98" s="60" t="s">
        <v>129</v>
      </c>
      <c r="D98" s="67"/>
      <c r="E98" s="77">
        <f>G98</f>
        <v>2346844.2800000003</v>
      </c>
      <c r="F98" s="98"/>
      <c r="G98" s="95">
        <f>105000+19650+2000000+91916.74+130277.54</f>
        <v>2346844.2800000003</v>
      </c>
    </row>
    <row r="99" spans="1:7" ht="24" customHeight="1">
      <c r="A99" s="104"/>
      <c r="B99" s="84"/>
      <c r="C99" s="60" t="s">
        <v>171</v>
      </c>
      <c r="D99" s="67"/>
      <c r="E99" s="83"/>
      <c r="F99" s="99"/>
      <c r="G99" s="96"/>
    </row>
    <row r="100" spans="1:7" ht="26.25" customHeight="1">
      <c r="A100" s="104"/>
      <c r="B100" s="84"/>
      <c r="C100" s="60" t="s">
        <v>102</v>
      </c>
      <c r="D100" s="67"/>
      <c r="E100" s="83"/>
      <c r="F100" s="99"/>
      <c r="G100" s="96"/>
    </row>
    <row r="101" spans="1:7" ht="24" customHeight="1">
      <c r="A101" s="104"/>
      <c r="B101" s="84"/>
      <c r="C101" s="60" t="s">
        <v>183</v>
      </c>
      <c r="D101" s="67"/>
      <c r="E101" s="83"/>
      <c r="F101" s="99"/>
      <c r="G101" s="96"/>
    </row>
    <row r="102" spans="1:7" ht="13.5" customHeight="1">
      <c r="A102" s="104"/>
      <c r="B102" s="76"/>
      <c r="C102" s="60" t="s">
        <v>150</v>
      </c>
      <c r="D102" s="67"/>
      <c r="E102" s="78"/>
      <c r="F102" s="100"/>
      <c r="G102" s="97"/>
    </row>
    <row r="103" spans="1:7" ht="13.5" customHeight="1">
      <c r="A103" s="104"/>
      <c r="B103" s="75" t="s">
        <v>96</v>
      </c>
      <c r="C103" s="60" t="s">
        <v>97</v>
      </c>
      <c r="D103" s="67"/>
      <c r="E103" s="77">
        <f t="shared" si="1"/>
        <v>822914.27</v>
      </c>
      <c r="F103" s="98"/>
      <c r="G103" s="95">
        <f>205841.96+321782.68+295289.63</f>
        <v>822914.27</v>
      </c>
    </row>
    <row r="104" spans="1:7" ht="13.5" customHeight="1">
      <c r="A104" s="104"/>
      <c r="B104" s="76"/>
      <c r="C104" s="60" t="s">
        <v>134</v>
      </c>
      <c r="D104" s="67"/>
      <c r="E104" s="78"/>
      <c r="F104" s="100"/>
      <c r="G104" s="97"/>
    </row>
    <row r="105" spans="1:7" ht="13.5" customHeight="1">
      <c r="A105" s="104"/>
      <c r="B105" s="75" t="s">
        <v>95</v>
      </c>
      <c r="C105" s="60" t="s">
        <v>124</v>
      </c>
      <c r="D105" s="67"/>
      <c r="E105" s="95">
        <f>G105</f>
        <v>3943697</v>
      </c>
      <c r="F105" s="95"/>
      <c r="G105" s="95">
        <v>3943697</v>
      </c>
    </row>
    <row r="106" spans="1:7" ht="13.5" customHeight="1">
      <c r="A106" s="104"/>
      <c r="B106" s="84"/>
      <c r="C106" s="60" t="s">
        <v>163</v>
      </c>
      <c r="D106" s="67"/>
      <c r="E106" s="96"/>
      <c r="F106" s="96"/>
      <c r="G106" s="96"/>
    </row>
    <row r="107" spans="1:7" ht="13.5" customHeight="1">
      <c r="A107" s="104"/>
      <c r="B107" s="76"/>
      <c r="C107" s="60" t="s">
        <v>52</v>
      </c>
      <c r="D107" s="67"/>
      <c r="E107" s="97"/>
      <c r="F107" s="97"/>
      <c r="G107" s="97"/>
    </row>
    <row r="108" spans="1:7">
      <c r="A108" s="104"/>
      <c r="B108" s="117" t="s">
        <v>42</v>
      </c>
      <c r="C108" s="60" t="s">
        <v>47</v>
      </c>
      <c r="D108" s="67"/>
      <c r="E108" s="82">
        <f t="shared" si="1"/>
        <v>298463.27</v>
      </c>
      <c r="F108" s="79"/>
      <c r="G108" s="82">
        <f>193463.27+70000+35000</f>
        <v>298463.27</v>
      </c>
    </row>
    <row r="109" spans="1:7">
      <c r="A109" s="104"/>
      <c r="B109" s="117"/>
      <c r="C109" s="60" t="s">
        <v>145</v>
      </c>
      <c r="D109" s="67"/>
      <c r="E109" s="82"/>
      <c r="F109" s="79"/>
      <c r="G109" s="82"/>
    </row>
    <row r="110" spans="1:7">
      <c r="A110" s="104"/>
      <c r="B110" s="57" t="s">
        <v>43</v>
      </c>
      <c r="C110" s="60" t="s">
        <v>47</v>
      </c>
      <c r="D110" s="67"/>
      <c r="E110" s="13">
        <f t="shared" si="1"/>
        <v>449000</v>
      </c>
      <c r="F110" s="48"/>
      <c r="G110" s="13">
        <v>449000</v>
      </c>
    </row>
    <row r="111" spans="1:7">
      <c r="A111" s="104"/>
      <c r="B111" s="57" t="s">
        <v>208</v>
      </c>
      <c r="C111" s="60" t="s">
        <v>209</v>
      </c>
      <c r="D111" s="67"/>
      <c r="E111" s="13">
        <f t="shared" si="1"/>
        <v>824800</v>
      </c>
      <c r="F111" s="44"/>
      <c r="G111" s="52">
        <v>824800</v>
      </c>
    </row>
    <row r="112" spans="1:7">
      <c r="A112" s="104"/>
      <c r="B112" s="75" t="s">
        <v>18</v>
      </c>
      <c r="C112" s="60" t="s">
        <v>151</v>
      </c>
      <c r="D112" s="67"/>
      <c r="E112" s="77">
        <f t="shared" si="1"/>
        <v>108970.62999999999</v>
      </c>
      <c r="F112" s="71"/>
      <c r="G112" s="77">
        <f>75170.23+33800.4+75170.23-75170.23</f>
        <v>108970.62999999999</v>
      </c>
    </row>
    <row r="113" spans="1:9">
      <c r="A113" s="104"/>
      <c r="B113" s="76"/>
      <c r="C113" s="60" t="s">
        <v>200</v>
      </c>
      <c r="D113" s="67"/>
      <c r="E113" s="78"/>
      <c r="F113" s="72"/>
      <c r="G113" s="78"/>
    </row>
    <row r="114" spans="1:9">
      <c r="A114" s="104"/>
      <c r="B114" s="75" t="s">
        <v>19</v>
      </c>
      <c r="C114" s="60" t="s">
        <v>52</v>
      </c>
      <c r="D114" s="67"/>
      <c r="E114" s="77">
        <f t="shared" si="1"/>
        <v>3015472.28</v>
      </c>
      <c r="F114" s="71"/>
      <c r="G114" s="77">
        <f>2293300+626455+2389020-2293302.72</f>
        <v>3015472.28</v>
      </c>
    </row>
    <row r="115" spans="1:9">
      <c r="A115" s="104"/>
      <c r="B115" s="84"/>
      <c r="C115" s="60" t="s">
        <v>124</v>
      </c>
      <c r="D115" s="67"/>
      <c r="E115" s="83"/>
      <c r="F115" s="85"/>
      <c r="G115" s="83"/>
    </row>
    <row r="116" spans="1:9" ht="25.5">
      <c r="A116" s="104"/>
      <c r="B116" s="84"/>
      <c r="C116" s="60" t="s">
        <v>166</v>
      </c>
      <c r="D116" s="67"/>
      <c r="E116" s="83"/>
      <c r="F116" s="85"/>
      <c r="G116" s="83"/>
    </row>
    <row r="117" spans="1:9">
      <c r="A117" s="104"/>
      <c r="B117" s="84"/>
      <c r="C117" s="60" t="s">
        <v>204</v>
      </c>
      <c r="D117" s="67"/>
      <c r="E117" s="83"/>
      <c r="F117" s="85"/>
      <c r="G117" s="83"/>
    </row>
    <row r="118" spans="1:9">
      <c r="A118" s="104"/>
      <c r="B118" s="76"/>
      <c r="C118" s="60" t="s">
        <v>158</v>
      </c>
      <c r="D118" s="67"/>
      <c r="E118" s="78"/>
      <c r="F118" s="72"/>
      <c r="G118" s="78"/>
    </row>
    <row r="119" spans="1:9" ht="38.25">
      <c r="A119" s="104"/>
      <c r="B119" s="75" t="s">
        <v>122</v>
      </c>
      <c r="C119" s="60" t="s">
        <v>123</v>
      </c>
      <c r="D119" s="67"/>
      <c r="E119" s="77">
        <f t="shared" si="1"/>
        <v>1546471</v>
      </c>
      <c r="F119" s="25"/>
      <c r="G119" s="77">
        <f>1413321+133150</f>
        <v>1546471</v>
      </c>
    </row>
    <row r="120" spans="1:9">
      <c r="A120" s="104"/>
      <c r="B120" s="84"/>
      <c r="C120" s="60" t="s">
        <v>159</v>
      </c>
      <c r="D120" s="67"/>
      <c r="E120" s="83"/>
      <c r="F120" s="27"/>
      <c r="G120" s="83"/>
    </row>
    <row r="121" spans="1:9" ht="25.5">
      <c r="A121" s="104"/>
      <c r="B121" s="84"/>
      <c r="C121" s="60" t="s">
        <v>185</v>
      </c>
      <c r="D121" s="67"/>
      <c r="E121" s="83"/>
      <c r="F121" s="27"/>
      <c r="G121" s="83"/>
    </row>
    <row r="122" spans="1:9">
      <c r="A122" s="104"/>
      <c r="B122" s="76"/>
      <c r="C122" s="60" t="s">
        <v>52</v>
      </c>
      <c r="D122" s="67"/>
      <c r="E122" s="78"/>
      <c r="F122" s="26"/>
      <c r="G122" s="78"/>
    </row>
    <row r="123" spans="1:9" ht="76.5">
      <c r="A123" s="104"/>
      <c r="B123" s="75" t="s">
        <v>103</v>
      </c>
      <c r="C123" s="60" t="s">
        <v>147</v>
      </c>
      <c r="D123" s="67"/>
      <c r="E123" s="88">
        <f t="shared" si="1"/>
        <v>12425093.560000001</v>
      </c>
      <c r="F123" s="90"/>
      <c r="G123" s="86">
        <v>12425093.560000001</v>
      </c>
      <c r="I123" s="23"/>
    </row>
    <row r="124" spans="1:9">
      <c r="A124" s="104"/>
      <c r="B124" s="76"/>
      <c r="C124" s="60" t="s">
        <v>52</v>
      </c>
      <c r="D124" s="67"/>
      <c r="E124" s="89"/>
      <c r="F124" s="91"/>
      <c r="G124" s="87"/>
      <c r="I124" s="23"/>
    </row>
    <row r="125" spans="1:9">
      <c r="A125" s="104"/>
      <c r="B125" s="75" t="s">
        <v>94</v>
      </c>
      <c r="C125" s="60" t="s">
        <v>52</v>
      </c>
      <c r="D125" s="67"/>
      <c r="E125" s="77">
        <f t="shared" si="1"/>
        <v>2497208</v>
      </c>
      <c r="F125" s="71"/>
      <c r="G125" s="77">
        <f>112208.41+2385000-0.41</f>
        <v>2497208</v>
      </c>
      <c r="I125" s="23"/>
    </row>
    <row r="126" spans="1:9" ht="25.5">
      <c r="A126" s="104"/>
      <c r="B126" s="76"/>
      <c r="C126" s="60" t="s">
        <v>171</v>
      </c>
      <c r="D126" s="67"/>
      <c r="E126" s="78"/>
      <c r="F126" s="72"/>
      <c r="G126" s="78"/>
      <c r="I126" s="23"/>
    </row>
    <row r="127" spans="1:9">
      <c r="A127" s="104"/>
      <c r="B127" s="75" t="s">
        <v>23</v>
      </c>
      <c r="C127" s="60" t="s">
        <v>63</v>
      </c>
      <c r="D127" s="67"/>
      <c r="E127" s="77">
        <f>G127</f>
        <v>6126000</v>
      </c>
      <c r="F127" s="77">
        <v>0</v>
      </c>
      <c r="G127" s="77">
        <v>6126000</v>
      </c>
      <c r="I127" s="23"/>
    </row>
    <row r="128" spans="1:9" ht="51">
      <c r="A128" s="104"/>
      <c r="B128" s="76"/>
      <c r="C128" s="60" t="s">
        <v>148</v>
      </c>
      <c r="D128" s="67"/>
      <c r="E128" s="78"/>
      <c r="F128" s="78"/>
      <c r="G128" s="78"/>
      <c r="I128" s="23"/>
    </row>
    <row r="129" spans="1:9">
      <c r="A129" s="104"/>
      <c r="B129" s="57" t="s">
        <v>165</v>
      </c>
      <c r="C129" s="60" t="str">
        <f>C125</f>
        <v>Замена оконных блоков</v>
      </c>
      <c r="D129" s="67"/>
      <c r="E129" s="49">
        <f>G129</f>
        <v>1554700</v>
      </c>
      <c r="F129" s="49"/>
      <c r="G129" s="49">
        <v>1554700</v>
      </c>
      <c r="I129" s="23"/>
    </row>
    <row r="130" spans="1:9">
      <c r="A130" s="104"/>
      <c r="B130" s="57" t="s">
        <v>184</v>
      </c>
      <c r="C130" s="60" t="s">
        <v>52</v>
      </c>
      <c r="D130" s="67"/>
      <c r="E130" s="49">
        <f>G130</f>
        <v>156400</v>
      </c>
      <c r="F130" s="49"/>
      <c r="G130" s="49">
        <v>156400</v>
      </c>
      <c r="I130" s="23"/>
    </row>
    <row r="131" spans="1:9">
      <c r="A131" s="104"/>
      <c r="B131" s="75" t="s">
        <v>24</v>
      </c>
      <c r="C131" s="60" t="str">
        <f>C129</f>
        <v>Замена оконных блоков</v>
      </c>
      <c r="D131" s="67"/>
      <c r="E131" s="77">
        <f>G131</f>
        <v>6272497.9000000004</v>
      </c>
      <c r="F131" s="71"/>
      <c r="G131" s="77">
        <f>3410267+88000+821730+1785000+99500+68000.9</f>
        <v>6272497.9000000004</v>
      </c>
      <c r="I131" s="24"/>
    </row>
    <row r="132" spans="1:9" ht="50.25" customHeight="1">
      <c r="A132" s="104"/>
      <c r="B132" s="84"/>
      <c r="C132" s="60" t="s">
        <v>203</v>
      </c>
      <c r="D132" s="67"/>
      <c r="E132" s="83"/>
      <c r="F132" s="85"/>
      <c r="G132" s="83"/>
      <c r="I132" s="24"/>
    </row>
    <row r="133" spans="1:9" ht="50.25" customHeight="1">
      <c r="A133" s="104"/>
      <c r="B133" s="84"/>
      <c r="C133" s="60" t="s">
        <v>180</v>
      </c>
      <c r="D133" s="67"/>
      <c r="E133" s="83"/>
      <c r="F133" s="85"/>
      <c r="G133" s="83"/>
      <c r="I133" s="24"/>
    </row>
    <row r="134" spans="1:9" ht="38.25">
      <c r="A134" s="104"/>
      <c r="B134" s="84"/>
      <c r="C134" s="60" t="s">
        <v>202</v>
      </c>
      <c r="D134" s="67"/>
      <c r="E134" s="83"/>
      <c r="F134" s="85"/>
      <c r="G134" s="83"/>
      <c r="I134" s="24"/>
    </row>
    <row r="135" spans="1:9" ht="25.5">
      <c r="A135" s="104"/>
      <c r="B135" s="76"/>
      <c r="C135" s="60" t="s">
        <v>201</v>
      </c>
      <c r="D135" s="67"/>
      <c r="E135" s="78"/>
      <c r="F135" s="72"/>
      <c r="G135" s="78"/>
    </row>
    <row r="136" spans="1:9">
      <c r="A136" s="104"/>
      <c r="B136" s="75" t="s">
        <v>25</v>
      </c>
      <c r="C136" s="60" t="s">
        <v>52</v>
      </c>
      <c r="D136" s="67"/>
      <c r="E136" s="77">
        <f>G136</f>
        <v>411946</v>
      </c>
      <c r="F136" s="71"/>
      <c r="G136" s="77">
        <f>27000+55000+66000+263946</f>
        <v>411946</v>
      </c>
    </row>
    <row r="137" spans="1:9" ht="25.5">
      <c r="A137" s="104"/>
      <c r="B137" s="84"/>
      <c r="C137" s="60" t="s">
        <v>207</v>
      </c>
      <c r="D137" s="67"/>
      <c r="E137" s="83"/>
      <c r="F137" s="85"/>
      <c r="G137" s="83"/>
    </row>
    <row r="138" spans="1:9">
      <c r="A138" s="104"/>
      <c r="B138" s="84"/>
      <c r="C138" s="60" t="s">
        <v>214</v>
      </c>
      <c r="D138" s="67"/>
      <c r="E138" s="83"/>
      <c r="F138" s="85"/>
      <c r="G138" s="83"/>
    </row>
    <row r="139" spans="1:9">
      <c r="A139" s="104"/>
      <c r="B139" s="76"/>
      <c r="C139" s="60" t="s">
        <v>120</v>
      </c>
      <c r="D139" s="67"/>
      <c r="E139" s="78"/>
      <c r="F139" s="72"/>
      <c r="G139" s="78"/>
    </row>
    <row r="140" spans="1:9">
      <c r="A140" s="104"/>
      <c r="B140" s="75" t="s">
        <v>98</v>
      </c>
      <c r="C140" s="60" t="s">
        <v>52</v>
      </c>
      <c r="D140" s="67"/>
      <c r="E140" s="77">
        <f>G140</f>
        <v>544254.88</v>
      </c>
      <c r="F140" s="71"/>
      <c r="G140" s="77">
        <f>166000+107800+166000+104454.88</f>
        <v>544254.88</v>
      </c>
      <c r="I140" s="24"/>
    </row>
    <row r="141" spans="1:9">
      <c r="A141" s="104"/>
      <c r="B141" s="84"/>
      <c r="C141" s="60" t="s">
        <v>99</v>
      </c>
      <c r="D141" s="67"/>
      <c r="E141" s="83"/>
      <c r="F141" s="85"/>
      <c r="G141" s="83"/>
    </row>
    <row r="142" spans="1:9">
      <c r="A142" s="104"/>
      <c r="B142" s="84"/>
      <c r="C142" s="60" t="s">
        <v>100</v>
      </c>
      <c r="D142" s="67"/>
      <c r="E142" s="83"/>
      <c r="F142" s="85"/>
      <c r="G142" s="83"/>
    </row>
    <row r="143" spans="1:9" ht="25.5">
      <c r="A143" s="104"/>
      <c r="B143" s="76"/>
      <c r="C143" s="60" t="s">
        <v>108</v>
      </c>
      <c r="D143" s="67"/>
      <c r="E143" s="78"/>
      <c r="F143" s="72"/>
      <c r="G143" s="78"/>
    </row>
    <row r="144" spans="1:9">
      <c r="A144" s="104"/>
      <c r="B144" s="75" t="s">
        <v>28</v>
      </c>
      <c r="C144" s="60" t="s">
        <v>52</v>
      </c>
      <c r="D144" s="67"/>
      <c r="E144" s="77">
        <f>G144</f>
        <v>925235</v>
      </c>
      <c r="F144" s="71"/>
      <c r="G144" s="77">
        <f>254200+317750+323085+30200</f>
        <v>925235</v>
      </c>
    </row>
    <row r="145" spans="1:9">
      <c r="A145" s="104"/>
      <c r="B145" s="76"/>
      <c r="C145" s="60" t="s">
        <v>132</v>
      </c>
      <c r="D145" s="67"/>
      <c r="E145" s="78"/>
      <c r="F145" s="72"/>
      <c r="G145" s="78"/>
    </row>
    <row r="146" spans="1:9">
      <c r="A146" s="104"/>
      <c r="B146" s="75" t="s">
        <v>27</v>
      </c>
      <c r="C146" s="60" t="s">
        <v>78</v>
      </c>
      <c r="D146" s="67"/>
      <c r="E146" s="77">
        <f>G146</f>
        <v>5437096.9099999992</v>
      </c>
      <c r="F146" s="77"/>
      <c r="G146" s="77">
        <f>1422288+893776+553467+720838.27+1265000-66000-55000+71086+631641.64</f>
        <v>5437096.9099999992</v>
      </c>
    </row>
    <row r="147" spans="1:9">
      <c r="A147" s="104"/>
      <c r="B147" s="84"/>
      <c r="C147" s="60" t="s">
        <v>109</v>
      </c>
      <c r="D147" s="67"/>
      <c r="E147" s="83"/>
      <c r="F147" s="83"/>
      <c r="G147" s="83"/>
    </row>
    <row r="148" spans="1:9" ht="25.5">
      <c r="A148" s="104"/>
      <c r="B148" s="84"/>
      <c r="C148" s="60" t="s">
        <v>188</v>
      </c>
      <c r="D148" s="68"/>
      <c r="E148" s="78"/>
      <c r="F148" s="78"/>
      <c r="G148" s="78"/>
    </row>
    <row r="149" spans="1:9" ht="51">
      <c r="A149" s="104"/>
      <c r="B149" s="76"/>
      <c r="C149" s="60" t="s">
        <v>52</v>
      </c>
      <c r="D149" s="53" t="s">
        <v>51</v>
      </c>
      <c r="E149" s="13">
        <f t="shared" si="1"/>
        <v>1074700</v>
      </c>
      <c r="F149" s="48">
        <v>1064700</v>
      </c>
      <c r="G149" s="13">
        <v>10000</v>
      </c>
    </row>
    <row r="150" spans="1:9">
      <c r="A150" s="104"/>
      <c r="B150" s="115" t="s">
        <v>35</v>
      </c>
      <c r="C150" s="115"/>
      <c r="D150" s="115"/>
      <c r="E150" s="13">
        <f>SUM(E90:E149)</f>
        <v>58420650</v>
      </c>
      <c r="F150" s="13">
        <f>SUM(F90:F149)</f>
        <v>1064700</v>
      </c>
      <c r="G150" s="13">
        <f>SUM(G90:G149)</f>
        <v>57355950</v>
      </c>
    </row>
    <row r="151" spans="1:9">
      <c r="A151" s="104"/>
      <c r="B151" s="81" t="s">
        <v>41</v>
      </c>
      <c r="C151" s="81"/>
      <c r="D151" s="81"/>
      <c r="E151" s="13">
        <f>G151</f>
        <v>3286898.4299999997</v>
      </c>
      <c r="F151" s="13">
        <f>F96</f>
        <v>0</v>
      </c>
      <c r="G151" s="13">
        <f>G96+2500000</f>
        <v>3286898.4299999997</v>
      </c>
      <c r="H151" s="22"/>
      <c r="I151" s="22"/>
    </row>
    <row r="152" spans="1:9" ht="45" customHeight="1">
      <c r="A152" s="53" t="s">
        <v>104</v>
      </c>
      <c r="B152" s="16" t="s">
        <v>101</v>
      </c>
      <c r="C152" s="60" t="s">
        <v>175</v>
      </c>
      <c r="D152" s="66" t="s">
        <v>39</v>
      </c>
      <c r="E152" s="17">
        <f t="shared" ref="E152:E155" si="2">F152+G152</f>
        <v>3411700</v>
      </c>
      <c r="F152" s="18"/>
      <c r="G152" s="19">
        <f>720000+2691700</f>
        <v>3411700</v>
      </c>
    </row>
    <row r="153" spans="1:9" ht="45" customHeight="1">
      <c r="A153" s="53"/>
      <c r="B153" s="16" t="s">
        <v>225</v>
      </c>
      <c r="C153" s="60" t="s">
        <v>222</v>
      </c>
      <c r="D153" s="67"/>
      <c r="E153" s="17">
        <f t="shared" si="2"/>
        <v>1048700</v>
      </c>
      <c r="F153" s="18"/>
      <c r="G153" s="19">
        <v>1048700</v>
      </c>
    </row>
    <row r="154" spans="1:9" ht="45" customHeight="1">
      <c r="A154" s="53"/>
      <c r="B154" s="16" t="s">
        <v>223</v>
      </c>
      <c r="C154" s="60" t="s">
        <v>224</v>
      </c>
      <c r="D154" s="67"/>
      <c r="E154" s="17">
        <f t="shared" si="2"/>
        <v>568169.06999999995</v>
      </c>
      <c r="F154" s="18"/>
      <c r="G154" s="19">
        <v>568169.06999999995</v>
      </c>
    </row>
    <row r="155" spans="1:9" ht="45" customHeight="1">
      <c r="A155" s="53"/>
      <c r="B155" s="16" t="s">
        <v>168</v>
      </c>
      <c r="C155" s="60" t="s">
        <v>169</v>
      </c>
      <c r="D155" s="68"/>
      <c r="E155" s="17">
        <f t="shared" si="2"/>
        <v>59930.93</v>
      </c>
      <c r="F155" s="18"/>
      <c r="G155" s="19">
        <v>59930.93</v>
      </c>
    </row>
    <row r="156" spans="1:9">
      <c r="A156" s="62"/>
      <c r="B156" s="81" t="s">
        <v>35</v>
      </c>
      <c r="C156" s="81"/>
      <c r="D156" s="81"/>
      <c r="E156" s="13">
        <f>SUM(E152:E155)</f>
        <v>5088500</v>
      </c>
      <c r="F156" s="13">
        <f t="shared" ref="F156:G156" si="3">SUM(F152:F155)</f>
        <v>0</v>
      </c>
      <c r="G156" s="13">
        <f t="shared" si="3"/>
        <v>5088500</v>
      </c>
    </row>
    <row r="157" spans="1:9">
      <c r="A157" s="62"/>
      <c r="B157" s="81" t="s">
        <v>41</v>
      </c>
      <c r="C157" s="81"/>
      <c r="D157" s="81"/>
      <c r="E157" s="13">
        <v>0</v>
      </c>
      <c r="F157" s="13">
        <f>F151+F89</f>
        <v>0</v>
      </c>
      <c r="G157" s="13">
        <v>0</v>
      </c>
    </row>
    <row r="158" spans="1:9" ht="45" customHeight="1">
      <c r="A158" s="66" t="s">
        <v>125</v>
      </c>
      <c r="B158" s="16" t="s">
        <v>126</v>
      </c>
      <c r="C158" s="60" t="s">
        <v>220</v>
      </c>
      <c r="D158" s="66" t="s">
        <v>39</v>
      </c>
      <c r="E158" s="17">
        <f t="shared" ref="E158" si="4">F158+G158</f>
        <v>4869600</v>
      </c>
      <c r="F158" s="18"/>
      <c r="G158" s="19">
        <f>1948000+200000+388200+1948000+385400</f>
        <v>4869600</v>
      </c>
    </row>
    <row r="159" spans="1:9" ht="27.75" customHeight="1">
      <c r="A159" s="67"/>
      <c r="B159" s="75" t="s">
        <v>161</v>
      </c>
      <c r="C159" s="60" t="s">
        <v>219</v>
      </c>
      <c r="D159" s="67"/>
      <c r="E159" s="77">
        <f>G159</f>
        <v>681700</v>
      </c>
      <c r="F159" s="98"/>
      <c r="G159" s="95">
        <f>550000+131700</f>
        <v>681700</v>
      </c>
    </row>
    <row r="160" spans="1:9" ht="25.5">
      <c r="A160" s="67"/>
      <c r="B160" s="76"/>
      <c r="C160" s="60" t="s">
        <v>170</v>
      </c>
      <c r="D160" s="67"/>
      <c r="E160" s="78"/>
      <c r="F160" s="100"/>
      <c r="G160" s="97"/>
    </row>
    <row r="161" spans="1:7">
      <c r="A161" s="68"/>
      <c r="B161" s="46" t="s">
        <v>221</v>
      </c>
      <c r="C161" s="60" t="s">
        <v>63</v>
      </c>
      <c r="D161" s="68"/>
      <c r="E161" s="51">
        <v>11016500</v>
      </c>
      <c r="F161" s="51">
        <v>0</v>
      </c>
      <c r="G161" s="51">
        <v>11016500</v>
      </c>
    </row>
    <row r="162" spans="1:7">
      <c r="A162" s="62"/>
      <c r="B162" s="81" t="s">
        <v>35</v>
      </c>
      <c r="C162" s="81"/>
      <c r="D162" s="81"/>
      <c r="E162" s="13">
        <f t="shared" ref="E162:F162" si="5">E158+E159+E161</f>
        <v>16567800</v>
      </c>
      <c r="F162" s="13">
        <f t="shared" si="5"/>
        <v>0</v>
      </c>
      <c r="G162" s="13">
        <f>G158+G159+G161</f>
        <v>16567800</v>
      </c>
    </row>
    <row r="163" spans="1:7">
      <c r="A163" s="62"/>
      <c r="B163" s="81" t="s">
        <v>41</v>
      </c>
      <c r="C163" s="81"/>
      <c r="D163" s="81"/>
      <c r="E163" s="13">
        <v>0</v>
      </c>
      <c r="F163" s="13">
        <f>F157+F96</f>
        <v>0</v>
      </c>
      <c r="G163" s="13">
        <v>0</v>
      </c>
    </row>
    <row r="164" spans="1:7">
      <c r="A164" s="62"/>
      <c r="B164" s="81" t="s">
        <v>35</v>
      </c>
      <c r="C164" s="81"/>
      <c r="D164" s="81"/>
      <c r="E164" s="13">
        <f>E156+E150+E88+E162</f>
        <v>125531737.3592</v>
      </c>
      <c r="F164" s="13">
        <f>F156+F150+F88+F162</f>
        <v>2295000</v>
      </c>
      <c r="G164" s="13">
        <f>G156+G150+G88+G162</f>
        <v>123236737.3592</v>
      </c>
    </row>
    <row r="165" spans="1:7">
      <c r="A165" s="62"/>
      <c r="B165" s="81" t="s">
        <v>41</v>
      </c>
      <c r="C165" s="81"/>
      <c r="D165" s="81"/>
      <c r="E165" s="13">
        <f>E157+E151+E89</f>
        <v>3548493.6899999995</v>
      </c>
      <c r="F165" s="13">
        <f>F157+F151+F89</f>
        <v>0</v>
      </c>
      <c r="G165" s="13">
        <f>G157+G151+G89</f>
        <v>3548493.6899999995</v>
      </c>
    </row>
  </sheetData>
  <autoFilter ref="A11:G151"/>
  <mergeCells count="183">
    <mergeCell ref="B50:B52"/>
    <mergeCell ref="B42:B43"/>
    <mergeCell ref="E136:E139"/>
    <mergeCell ref="E140:E143"/>
    <mergeCell ref="B140:B143"/>
    <mergeCell ref="G29:G30"/>
    <mergeCell ref="E29:E30"/>
    <mergeCell ref="F29:F30"/>
    <mergeCell ref="G22:G25"/>
    <mergeCell ref="E22:E25"/>
    <mergeCell ref="F22:F25"/>
    <mergeCell ref="G75:G76"/>
    <mergeCell ref="E75:E76"/>
    <mergeCell ref="F75:F76"/>
    <mergeCell ref="F39:F41"/>
    <mergeCell ref="G61:G64"/>
    <mergeCell ref="E61:E64"/>
    <mergeCell ref="F61:F64"/>
    <mergeCell ref="G53:G55"/>
    <mergeCell ref="E53:E55"/>
    <mergeCell ref="F53:F55"/>
    <mergeCell ref="G42:G43"/>
    <mergeCell ref="E42:E43"/>
    <mergeCell ref="F42:F43"/>
    <mergeCell ref="F50:F52"/>
    <mergeCell ref="G159:G160"/>
    <mergeCell ref="E159:E160"/>
    <mergeCell ref="F159:F160"/>
    <mergeCell ref="B159:B160"/>
    <mergeCell ref="B123:B124"/>
    <mergeCell ref="B103:B104"/>
    <mergeCell ref="B90:B95"/>
    <mergeCell ref="B119:B122"/>
    <mergeCell ref="B114:B118"/>
    <mergeCell ref="F136:F139"/>
    <mergeCell ref="B96:B97"/>
    <mergeCell ref="G96:G97"/>
    <mergeCell ref="E96:E97"/>
    <mergeCell ref="F96:F97"/>
    <mergeCell ref="D152:D155"/>
    <mergeCell ref="B144:B145"/>
    <mergeCell ref="B146:B149"/>
    <mergeCell ref="B127:B128"/>
    <mergeCell ref="B108:B109"/>
    <mergeCell ref="D1:G7"/>
    <mergeCell ref="B151:D151"/>
    <mergeCell ref="F10:G10"/>
    <mergeCell ref="B88:D88"/>
    <mergeCell ref="B150:D150"/>
    <mergeCell ref="G26:G27"/>
    <mergeCell ref="G32:G36"/>
    <mergeCell ref="G48:G49"/>
    <mergeCell ref="E48:E49"/>
    <mergeCell ref="F48:F49"/>
    <mergeCell ref="B56:B58"/>
    <mergeCell ref="G56:G58"/>
    <mergeCell ref="A8:F8"/>
    <mergeCell ref="B89:D89"/>
    <mergeCell ref="A90:A151"/>
    <mergeCell ref="A12:A89"/>
    <mergeCell ref="B22:B25"/>
    <mergeCell ref="B14:B18"/>
    <mergeCell ref="B61:B64"/>
    <mergeCell ref="G14:G18"/>
    <mergeCell ref="F14:F18"/>
    <mergeCell ref="E14:E18"/>
    <mergeCell ref="B136:B139"/>
    <mergeCell ref="G136:G139"/>
    <mergeCell ref="A10:A11"/>
    <mergeCell ref="B10:B11"/>
    <mergeCell ref="C10:C11"/>
    <mergeCell ref="D10:D11"/>
    <mergeCell ref="E10:E11"/>
    <mergeCell ref="E26:E27"/>
    <mergeCell ref="F26:F27"/>
    <mergeCell ref="B32:B36"/>
    <mergeCell ref="E32:E36"/>
    <mergeCell ref="F32:F36"/>
    <mergeCell ref="B26:B27"/>
    <mergeCell ref="D12:D86"/>
    <mergeCell ref="B39:B41"/>
    <mergeCell ref="E39:E41"/>
    <mergeCell ref="B12:B13"/>
    <mergeCell ref="B77:B79"/>
    <mergeCell ref="F56:F58"/>
    <mergeCell ref="E56:E58"/>
    <mergeCell ref="E44:E45"/>
    <mergeCell ref="F44:F45"/>
    <mergeCell ref="B44:B45"/>
    <mergeCell ref="B48:B49"/>
    <mergeCell ref="B53:B55"/>
    <mergeCell ref="B75:B76"/>
    <mergeCell ref="B105:B107"/>
    <mergeCell ref="B29:B30"/>
    <mergeCell ref="B125:B126"/>
    <mergeCell ref="D90:D148"/>
    <mergeCell ref="G146:G148"/>
    <mergeCell ref="E146:E148"/>
    <mergeCell ref="F146:F148"/>
    <mergeCell ref="F114:F118"/>
    <mergeCell ref="B98:B102"/>
    <mergeCell ref="G98:G102"/>
    <mergeCell ref="E98:E102"/>
    <mergeCell ref="F98:F102"/>
    <mergeCell ref="G103:G104"/>
    <mergeCell ref="E103:E104"/>
    <mergeCell ref="F103:F104"/>
    <mergeCell ref="G105:G107"/>
    <mergeCell ref="F105:F107"/>
    <mergeCell ref="G39:G41"/>
    <mergeCell ref="G44:G45"/>
    <mergeCell ref="B84:B86"/>
    <mergeCell ref="E105:E107"/>
    <mergeCell ref="B37:B38"/>
    <mergeCell ref="G37:G38"/>
    <mergeCell ref="F37:F38"/>
    <mergeCell ref="E127:E128"/>
    <mergeCell ref="G123:G124"/>
    <mergeCell ref="E123:E124"/>
    <mergeCell ref="F123:F124"/>
    <mergeCell ref="G90:G95"/>
    <mergeCell ref="E90:E95"/>
    <mergeCell ref="F90:F95"/>
    <mergeCell ref="G12:G13"/>
    <mergeCell ref="E12:E13"/>
    <mergeCell ref="F12:F13"/>
    <mergeCell ref="G84:G86"/>
    <mergeCell ref="E84:E86"/>
    <mergeCell ref="F84:F86"/>
    <mergeCell ref="E125:E126"/>
    <mergeCell ref="G125:G126"/>
    <mergeCell ref="F125:F126"/>
    <mergeCell ref="G50:G52"/>
    <mergeCell ref="E50:E52"/>
    <mergeCell ref="E37:E38"/>
    <mergeCell ref="B164:D164"/>
    <mergeCell ref="B165:D165"/>
    <mergeCell ref="B156:D156"/>
    <mergeCell ref="B157:D157"/>
    <mergeCell ref="B162:D162"/>
    <mergeCell ref="B163:D163"/>
    <mergeCell ref="F127:F128"/>
    <mergeCell ref="G108:G109"/>
    <mergeCell ref="E114:E118"/>
    <mergeCell ref="G114:G118"/>
    <mergeCell ref="E108:E109"/>
    <mergeCell ref="F108:F109"/>
    <mergeCell ref="G144:G145"/>
    <mergeCell ref="E144:E145"/>
    <mergeCell ref="F144:F145"/>
    <mergeCell ref="B131:B135"/>
    <mergeCell ref="G131:G135"/>
    <mergeCell ref="E131:E135"/>
    <mergeCell ref="F131:F135"/>
    <mergeCell ref="F140:F143"/>
    <mergeCell ref="G140:G143"/>
    <mergeCell ref="G119:G122"/>
    <mergeCell ref="E119:E122"/>
    <mergeCell ref="G127:G128"/>
    <mergeCell ref="A158:A161"/>
    <mergeCell ref="D158:D161"/>
    <mergeCell ref="B68:B69"/>
    <mergeCell ref="E68:E69"/>
    <mergeCell ref="G68:G69"/>
    <mergeCell ref="F68:F69"/>
    <mergeCell ref="G20:G21"/>
    <mergeCell ref="E20:E21"/>
    <mergeCell ref="F20:F21"/>
    <mergeCell ref="B46:B47"/>
    <mergeCell ref="G46:G47"/>
    <mergeCell ref="F46:F47"/>
    <mergeCell ref="E46:E47"/>
    <mergeCell ref="B112:B113"/>
    <mergeCell ref="G112:G113"/>
    <mergeCell ref="E112:E113"/>
    <mergeCell ref="F112:F113"/>
    <mergeCell ref="B71:B72"/>
    <mergeCell ref="G71:G72"/>
    <mergeCell ref="E71:E72"/>
    <mergeCell ref="F71:F72"/>
    <mergeCell ref="E77:E79"/>
    <mergeCell ref="G77:G79"/>
    <mergeCell ref="F77:F79"/>
  </mergeCells>
  <phoneticPr fontId="6" type="noConversion"/>
  <pageMargins left="0.31496062992125984" right="0.31496062992125984" top="0.39370078740157483" bottom="0.39370078740157483" header="0.19685039370078741" footer="0.19685039370078741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4"/>
  <sheetViews>
    <sheetView tabSelected="1" zoomScale="160" zoomScaleNormal="160" workbookViewId="0">
      <selection activeCell="D1" sqref="D1:F6"/>
    </sheetView>
  </sheetViews>
  <sheetFormatPr defaultColWidth="9.28515625" defaultRowHeight="12.75"/>
  <cols>
    <col min="1" max="1" width="26.7109375" style="1" customWidth="1"/>
    <col min="2" max="2" width="32.5703125" style="2" customWidth="1"/>
    <col min="3" max="3" width="18.7109375" style="3" customWidth="1"/>
    <col min="4" max="4" width="14.7109375" style="12" customWidth="1"/>
    <col min="5" max="5" width="16" style="3" customWidth="1"/>
    <col min="6" max="6" width="16.28515625" style="21" customWidth="1"/>
    <col min="7" max="7" width="13.7109375" style="3" bestFit="1" customWidth="1"/>
    <col min="8" max="16384" width="9.28515625" style="3"/>
  </cols>
  <sheetData>
    <row r="1" spans="1:6" s="9" customFormat="1" ht="12.75" customHeight="1">
      <c r="A1" s="8"/>
      <c r="C1" s="10"/>
      <c r="D1" s="111" t="s">
        <v>237</v>
      </c>
      <c r="E1" s="111"/>
      <c r="F1" s="111"/>
    </row>
    <row r="2" spans="1:6" s="9" customFormat="1" ht="12.75" customHeight="1">
      <c r="A2" s="8"/>
      <c r="C2" s="10"/>
      <c r="D2" s="111"/>
      <c r="E2" s="111"/>
      <c r="F2" s="111"/>
    </row>
    <row r="3" spans="1:6" s="9" customFormat="1" ht="12.75" customHeight="1">
      <c r="A3" s="8"/>
      <c r="C3" s="10"/>
      <c r="D3" s="111"/>
      <c r="E3" s="111"/>
      <c r="F3" s="111"/>
    </row>
    <row r="4" spans="1:6" s="9" customFormat="1" ht="12.75" customHeight="1">
      <c r="A4" s="8"/>
      <c r="C4" s="10"/>
      <c r="D4" s="111"/>
      <c r="E4" s="111"/>
      <c r="F4" s="111"/>
    </row>
    <row r="5" spans="1:6" s="9" customFormat="1" ht="21" customHeight="1">
      <c r="A5" s="8"/>
      <c r="C5" s="10"/>
      <c r="D5" s="111"/>
      <c r="E5" s="111"/>
      <c r="F5" s="111"/>
    </row>
    <row r="6" spans="1:6" s="9" customFormat="1" ht="30.6" customHeight="1">
      <c r="A6" s="8"/>
      <c r="C6" s="10"/>
      <c r="D6" s="111"/>
      <c r="E6" s="111"/>
      <c r="F6" s="111"/>
    </row>
    <row r="7" spans="1:6" s="9" customFormat="1" ht="39.75" customHeight="1">
      <c r="A7" s="116" t="s">
        <v>234</v>
      </c>
      <c r="B7" s="116"/>
      <c r="C7" s="116"/>
      <c r="D7" s="116"/>
      <c r="E7" s="116"/>
      <c r="F7" s="116"/>
    </row>
    <row r="8" spans="1:6" ht="12.75" customHeight="1">
      <c r="D8" s="111"/>
      <c r="E8" s="111"/>
      <c r="F8" s="111"/>
    </row>
    <row r="9" spans="1:6" ht="12" customHeight="1">
      <c r="B9" s="15"/>
      <c r="C9" s="4"/>
      <c r="D9" s="35"/>
      <c r="E9" s="4"/>
      <c r="F9" s="21" t="s">
        <v>233</v>
      </c>
    </row>
    <row r="10" spans="1:6">
      <c r="A10" s="104" t="s">
        <v>0</v>
      </c>
      <c r="B10" s="105" t="s">
        <v>1</v>
      </c>
      <c r="C10" s="104" t="s">
        <v>2</v>
      </c>
      <c r="D10" s="71" t="s">
        <v>3</v>
      </c>
      <c r="E10" s="104" t="s">
        <v>4</v>
      </c>
      <c r="F10" s="104"/>
    </row>
    <row r="11" spans="1:6" ht="38.25">
      <c r="A11" s="104"/>
      <c r="B11" s="105"/>
      <c r="C11" s="104"/>
      <c r="D11" s="72"/>
      <c r="E11" s="32" t="s">
        <v>5</v>
      </c>
      <c r="F11" s="7" t="s">
        <v>6</v>
      </c>
    </row>
    <row r="12" spans="1:6" ht="25.5">
      <c r="A12" s="33" t="s">
        <v>54</v>
      </c>
      <c r="B12" s="33" t="s">
        <v>53</v>
      </c>
      <c r="C12" s="122"/>
      <c r="D12" s="7">
        <f>F12</f>
        <v>300000</v>
      </c>
      <c r="E12" s="28">
        <v>0</v>
      </c>
      <c r="F12" s="7">
        <v>300000</v>
      </c>
    </row>
    <row r="13" spans="1:6" ht="25.5">
      <c r="A13" s="33" t="s">
        <v>131</v>
      </c>
      <c r="B13" s="33" t="s">
        <v>93</v>
      </c>
      <c r="C13" s="123"/>
      <c r="D13" s="7">
        <f>F13</f>
        <v>182600</v>
      </c>
      <c r="E13" s="28">
        <v>0</v>
      </c>
      <c r="F13" s="7">
        <v>182600</v>
      </c>
    </row>
    <row r="14" spans="1:6" ht="25.5">
      <c r="A14" s="33" t="s">
        <v>110</v>
      </c>
      <c r="B14" s="33" t="s">
        <v>53</v>
      </c>
      <c r="C14" s="123"/>
      <c r="D14" s="7">
        <f>F14</f>
        <v>335000</v>
      </c>
      <c r="E14" s="28">
        <v>0</v>
      </c>
      <c r="F14" s="7">
        <v>335000</v>
      </c>
    </row>
    <row r="15" spans="1:6" ht="25.5" customHeight="1">
      <c r="A15" s="105" t="s">
        <v>91</v>
      </c>
      <c r="B15" s="33" t="s">
        <v>92</v>
      </c>
      <c r="C15" s="123"/>
      <c r="D15" s="80">
        <v>75500</v>
      </c>
      <c r="E15" s="121">
        <v>0</v>
      </c>
      <c r="F15" s="80">
        <v>75500</v>
      </c>
    </row>
    <row r="16" spans="1:6">
      <c r="A16" s="105"/>
      <c r="B16" s="33" t="s">
        <v>93</v>
      </c>
      <c r="C16" s="123"/>
      <c r="D16" s="80"/>
      <c r="E16" s="121"/>
      <c r="F16" s="80"/>
    </row>
    <row r="17" spans="1:6" ht="25.5">
      <c r="A17" s="33" t="s">
        <v>65</v>
      </c>
      <c r="B17" s="33" t="s">
        <v>66</v>
      </c>
      <c r="C17" s="123"/>
      <c r="D17" s="7">
        <f t="shared" ref="D17:D29" si="0">F17</f>
        <v>110000</v>
      </c>
      <c r="E17" s="28">
        <v>0</v>
      </c>
      <c r="F17" s="7">
        <v>110000</v>
      </c>
    </row>
    <row r="18" spans="1:6" ht="16.5" customHeight="1">
      <c r="A18" s="128" t="s">
        <v>116</v>
      </c>
      <c r="B18" s="33" t="s">
        <v>93</v>
      </c>
      <c r="C18" s="123"/>
      <c r="D18" s="71">
        <f t="shared" si="0"/>
        <v>511500</v>
      </c>
      <c r="E18" s="118">
        <v>0</v>
      </c>
      <c r="F18" s="71">
        <f>71500+440000</f>
        <v>511500</v>
      </c>
    </row>
    <row r="19" spans="1:6">
      <c r="A19" s="129"/>
      <c r="B19" s="33" t="s">
        <v>127</v>
      </c>
      <c r="C19" s="123"/>
      <c r="D19" s="72"/>
      <c r="E19" s="119"/>
      <c r="F19" s="72"/>
    </row>
    <row r="20" spans="1:6" ht="15.75" customHeight="1">
      <c r="A20" s="126" t="s">
        <v>60</v>
      </c>
      <c r="B20" s="33" t="s">
        <v>53</v>
      </c>
      <c r="C20" s="123"/>
      <c r="D20" s="71">
        <f t="shared" si="0"/>
        <v>478180.58999999997</v>
      </c>
      <c r="E20" s="118">
        <v>0</v>
      </c>
      <c r="F20" s="71">
        <f>350000+128180.59</f>
        <v>478180.58999999997</v>
      </c>
    </row>
    <row r="21" spans="1:6" ht="25.5">
      <c r="A21" s="126"/>
      <c r="B21" s="33" t="s">
        <v>112</v>
      </c>
      <c r="C21" s="123"/>
      <c r="D21" s="72"/>
      <c r="E21" s="119"/>
      <c r="F21" s="72"/>
    </row>
    <row r="22" spans="1:6" ht="25.5">
      <c r="A22" s="33" t="s">
        <v>61</v>
      </c>
      <c r="B22" s="33" t="s">
        <v>53</v>
      </c>
      <c r="C22" s="123"/>
      <c r="D22" s="7">
        <f t="shared" si="0"/>
        <v>350000</v>
      </c>
      <c r="E22" s="28">
        <v>0</v>
      </c>
      <c r="F22" s="7">
        <v>350000</v>
      </c>
    </row>
    <row r="23" spans="1:6">
      <c r="A23" s="33" t="s">
        <v>81</v>
      </c>
      <c r="B23" s="33" t="s">
        <v>93</v>
      </c>
      <c r="C23" s="123"/>
      <c r="D23" s="7">
        <f t="shared" si="0"/>
        <v>154800</v>
      </c>
      <c r="E23" s="28">
        <v>0</v>
      </c>
      <c r="F23" s="7">
        <v>154800</v>
      </c>
    </row>
    <row r="24" spans="1:6">
      <c r="A24" s="33" t="s">
        <v>87</v>
      </c>
      <c r="B24" s="33" t="s">
        <v>53</v>
      </c>
      <c r="C24" s="123"/>
      <c r="D24" s="7">
        <f t="shared" si="0"/>
        <v>680000</v>
      </c>
      <c r="E24" s="28">
        <v>0</v>
      </c>
      <c r="F24" s="7">
        <v>680000</v>
      </c>
    </row>
    <row r="25" spans="1:6">
      <c r="A25" s="33" t="s">
        <v>58</v>
      </c>
      <c r="B25" s="33" t="s">
        <v>53</v>
      </c>
      <c r="C25" s="123"/>
      <c r="D25" s="7">
        <f t="shared" si="0"/>
        <v>558000</v>
      </c>
      <c r="E25" s="28">
        <v>0</v>
      </c>
      <c r="F25" s="7">
        <v>558000</v>
      </c>
    </row>
    <row r="26" spans="1:6">
      <c r="A26" s="128" t="s">
        <v>105</v>
      </c>
      <c r="B26" s="33" t="s">
        <v>53</v>
      </c>
      <c r="C26" s="123"/>
      <c r="D26" s="71">
        <f t="shared" si="0"/>
        <v>548143.13</v>
      </c>
      <c r="E26" s="118">
        <v>0</v>
      </c>
      <c r="F26" s="71">
        <f>358143.13+190000</f>
        <v>548143.13</v>
      </c>
    </row>
    <row r="27" spans="1:6" ht="38.25">
      <c r="A27" s="129"/>
      <c r="B27" s="33" t="s">
        <v>191</v>
      </c>
      <c r="C27" s="123"/>
      <c r="D27" s="72"/>
      <c r="E27" s="119"/>
      <c r="F27" s="72"/>
    </row>
    <row r="28" spans="1:6" ht="25.5">
      <c r="A28" s="33" t="s">
        <v>114</v>
      </c>
      <c r="B28" s="33" t="s">
        <v>115</v>
      </c>
      <c r="C28" s="123"/>
      <c r="D28" s="7">
        <f t="shared" si="0"/>
        <v>37100</v>
      </c>
      <c r="E28" s="28">
        <v>0</v>
      </c>
      <c r="F28" s="7">
        <v>37100</v>
      </c>
    </row>
    <row r="29" spans="1:6">
      <c r="A29" s="33" t="s">
        <v>128</v>
      </c>
      <c r="B29" s="33" t="s">
        <v>118</v>
      </c>
      <c r="C29" s="123"/>
      <c r="D29" s="7">
        <f t="shared" si="0"/>
        <v>49750</v>
      </c>
      <c r="E29" s="28">
        <v>0</v>
      </c>
      <c r="F29" s="7">
        <v>49750</v>
      </c>
    </row>
    <row r="30" spans="1:6" ht="25.5">
      <c r="A30" s="127" t="s">
        <v>7</v>
      </c>
      <c r="B30" s="6" t="s">
        <v>8</v>
      </c>
      <c r="C30" s="123"/>
      <c r="D30" s="77">
        <f t="shared" ref="D30:D33" si="1">E30+F30</f>
        <v>1228460</v>
      </c>
      <c r="E30" s="118">
        <v>0</v>
      </c>
      <c r="F30" s="77">
        <f>878460+350000</f>
        <v>1228460</v>
      </c>
    </row>
    <row r="31" spans="1:6">
      <c r="A31" s="127"/>
      <c r="B31" s="6" t="s">
        <v>53</v>
      </c>
      <c r="C31" s="123"/>
      <c r="D31" s="78"/>
      <c r="E31" s="119"/>
      <c r="F31" s="78"/>
    </row>
    <row r="32" spans="1:6">
      <c r="A32" s="33" t="s">
        <v>107</v>
      </c>
      <c r="B32" s="33" t="s">
        <v>118</v>
      </c>
      <c r="C32" s="123"/>
      <c r="D32" s="13">
        <f t="shared" si="1"/>
        <v>200000</v>
      </c>
      <c r="E32" s="28">
        <v>0</v>
      </c>
      <c r="F32" s="13">
        <v>200000</v>
      </c>
    </row>
    <row r="33" spans="1:6" ht="25.5">
      <c r="A33" s="33" t="s">
        <v>187</v>
      </c>
      <c r="B33" s="33" t="s">
        <v>189</v>
      </c>
      <c r="C33" s="123"/>
      <c r="D33" s="13">
        <f t="shared" si="1"/>
        <v>250000</v>
      </c>
      <c r="E33" s="28">
        <v>0</v>
      </c>
      <c r="F33" s="13">
        <v>250000</v>
      </c>
    </row>
    <row r="34" spans="1:6" ht="25.5">
      <c r="A34" s="125" t="s">
        <v>59</v>
      </c>
      <c r="B34" s="6" t="s">
        <v>8</v>
      </c>
      <c r="C34" s="123"/>
      <c r="D34" s="77">
        <f t="shared" ref="D34:D37" si="2">E34+F34</f>
        <v>775500</v>
      </c>
      <c r="E34" s="118">
        <v>0</v>
      </c>
      <c r="F34" s="77">
        <v>775500</v>
      </c>
    </row>
    <row r="35" spans="1:6" ht="25.5">
      <c r="A35" s="125"/>
      <c r="B35" s="6" t="s">
        <v>113</v>
      </c>
      <c r="C35" s="123"/>
      <c r="D35" s="78"/>
      <c r="E35" s="119"/>
      <c r="F35" s="78"/>
    </row>
    <row r="36" spans="1:6">
      <c r="A36" s="36" t="s">
        <v>136</v>
      </c>
      <c r="B36" s="6" t="s">
        <v>53</v>
      </c>
      <c r="C36" s="123"/>
      <c r="D36" s="13">
        <f t="shared" ref="D36" si="3">E36+F36</f>
        <v>149887</v>
      </c>
      <c r="E36" s="28">
        <v>0</v>
      </c>
      <c r="F36" s="13">
        <f>150000-113</f>
        <v>149887</v>
      </c>
    </row>
    <row r="37" spans="1:6" ht="25.5">
      <c r="A37" s="6" t="s">
        <v>135</v>
      </c>
      <c r="B37" s="6" t="s">
        <v>113</v>
      </c>
      <c r="C37" s="123"/>
      <c r="D37" s="13">
        <f t="shared" si="2"/>
        <v>139400</v>
      </c>
      <c r="E37" s="28">
        <v>0</v>
      </c>
      <c r="F37" s="13">
        <v>139400</v>
      </c>
    </row>
    <row r="38" spans="1:6" ht="25.5">
      <c r="A38" s="6" t="s">
        <v>9</v>
      </c>
      <c r="B38" s="6" t="s">
        <v>8</v>
      </c>
      <c r="C38" s="123"/>
      <c r="D38" s="13">
        <f t="shared" ref="D38:D81" si="4">F38</f>
        <v>906840</v>
      </c>
      <c r="E38" s="28">
        <v>0</v>
      </c>
      <c r="F38" s="13">
        <f>914760-7920</f>
        <v>906840</v>
      </c>
    </row>
    <row r="39" spans="1:6" ht="25.5">
      <c r="A39" s="6" t="s">
        <v>10</v>
      </c>
      <c r="B39" s="6" t="s">
        <v>8</v>
      </c>
      <c r="C39" s="123"/>
      <c r="D39" s="13">
        <f t="shared" si="4"/>
        <v>1152500</v>
      </c>
      <c r="E39" s="28">
        <v>0</v>
      </c>
      <c r="F39" s="13">
        <f>2368800-1216300</f>
        <v>1152500</v>
      </c>
    </row>
    <row r="40" spans="1:6">
      <c r="A40" s="6" t="s">
        <v>11</v>
      </c>
      <c r="B40" s="6" t="s">
        <v>121</v>
      </c>
      <c r="C40" s="123"/>
      <c r="D40" s="13">
        <f t="shared" si="4"/>
        <v>34255.14</v>
      </c>
      <c r="E40" s="28">
        <v>0</v>
      </c>
      <c r="F40" s="13">
        <f>8371.53+25883.61</f>
        <v>34255.14</v>
      </c>
    </row>
    <row r="41" spans="1:6" ht="25.5">
      <c r="A41" s="6" t="s">
        <v>12</v>
      </c>
      <c r="B41" s="6" t="s">
        <v>8</v>
      </c>
      <c r="C41" s="123"/>
      <c r="D41" s="13">
        <f t="shared" si="4"/>
        <v>753444.5</v>
      </c>
      <c r="E41" s="28">
        <v>0</v>
      </c>
      <c r="F41" s="13">
        <v>753444.5</v>
      </c>
    </row>
    <row r="42" spans="1:6" ht="25.5">
      <c r="A42" s="69" t="s">
        <v>13</v>
      </c>
      <c r="B42" s="6" t="s">
        <v>8</v>
      </c>
      <c r="C42" s="123"/>
      <c r="D42" s="13">
        <f t="shared" si="4"/>
        <v>755280.9</v>
      </c>
      <c r="E42" s="28">
        <v>0</v>
      </c>
      <c r="F42" s="13">
        <v>755280.9</v>
      </c>
    </row>
    <row r="43" spans="1:6">
      <c r="A43" s="70"/>
      <c r="B43" s="60" t="s">
        <v>229</v>
      </c>
      <c r="C43" s="123"/>
      <c r="D43" s="13">
        <f t="shared" si="4"/>
        <v>1515682.43</v>
      </c>
      <c r="E43" s="64">
        <v>0</v>
      </c>
      <c r="F43" s="52">
        <v>1515682.43</v>
      </c>
    </row>
    <row r="44" spans="1:6" ht="25.5">
      <c r="A44" s="125" t="s">
        <v>14</v>
      </c>
      <c r="B44" s="6" t="s">
        <v>8</v>
      </c>
      <c r="C44" s="123"/>
      <c r="D44" s="77">
        <f t="shared" si="4"/>
        <v>1769366.02</v>
      </c>
      <c r="E44" s="118">
        <v>0</v>
      </c>
      <c r="F44" s="77">
        <v>1769366.02</v>
      </c>
    </row>
    <row r="45" spans="1:6" ht="25.5">
      <c r="A45" s="125"/>
      <c r="B45" s="6" t="s">
        <v>138</v>
      </c>
      <c r="C45" s="123"/>
      <c r="D45" s="83"/>
      <c r="E45" s="120"/>
      <c r="F45" s="83"/>
    </row>
    <row r="46" spans="1:6" ht="25.5">
      <c r="A46" s="125"/>
      <c r="B46" s="6" t="s">
        <v>117</v>
      </c>
      <c r="C46" s="123"/>
      <c r="D46" s="78"/>
      <c r="E46" s="119"/>
      <c r="F46" s="78"/>
    </row>
    <row r="47" spans="1:6" ht="25.5">
      <c r="A47" s="6" t="s">
        <v>15</v>
      </c>
      <c r="B47" s="6" t="s">
        <v>8</v>
      </c>
      <c r="C47" s="123"/>
      <c r="D47" s="13">
        <f t="shared" si="4"/>
        <v>603900</v>
      </c>
      <c r="E47" s="28">
        <v>0</v>
      </c>
      <c r="F47" s="13">
        <v>603900</v>
      </c>
    </row>
    <row r="48" spans="1:6" ht="25.5">
      <c r="A48" s="6" t="s">
        <v>16</v>
      </c>
      <c r="B48" s="6" t="s">
        <v>8</v>
      </c>
      <c r="C48" s="123"/>
      <c r="D48" s="13">
        <f t="shared" si="4"/>
        <v>667280</v>
      </c>
      <c r="E48" s="28">
        <v>0</v>
      </c>
      <c r="F48" s="13">
        <v>667280</v>
      </c>
    </row>
    <row r="49" spans="1:6" ht="25.5">
      <c r="A49" s="6" t="s">
        <v>17</v>
      </c>
      <c r="B49" s="6" t="s">
        <v>8</v>
      </c>
      <c r="C49" s="123"/>
      <c r="D49" s="13">
        <f t="shared" si="4"/>
        <v>554400</v>
      </c>
      <c r="E49" s="28">
        <v>0</v>
      </c>
      <c r="F49" s="13">
        <f>600000-45600</f>
        <v>554400</v>
      </c>
    </row>
    <row r="50" spans="1:6">
      <c r="A50" s="6" t="s">
        <v>18</v>
      </c>
      <c r="B50" s="6" t="s">
        <v>53</v>
      </c>
      <c r="C50" s="123"/>
      <c r="D50" s="13">
        <f t="shared" si="4"/>
        <v>1625651.35</v>
      </c>
      <c r="E50" s="28"/>
      <c r="F50" s="13">
        <f>1575152.8+50498.55</f>
        <v>1625651.35</v>
      </c>
    </row>
    <row r="51" spans="1:6" ht="25.5">
      <c r="A51" s="125" t="s">
        <v>19</v>
      </c>
      <c r="B51" s="6" t="s">
        <v>8</v>
      </c>
      <c r="C51" s="123"/>
      <c r="D51" s="77">
        <f t="shared" si="4"/>
        <v>2002179.66</v>
      </c>
      <c r="E51" s="118">
        <v>0</v>
      </c>
      <c r="F51" s="77">
        <v>2002179.66</v>
      </c>
    </row>
    <row r="52" spans="1:6" ht="38.25">
      <c r="A52" s="125"/>
      <c r="B52" s="6" t="s">
        <v>111</v>
      </c>
      <c r="C52" s="123"/>
      <c r="D52" s="83"/>
      <c r="E52" s="120"/>
      <c r="F52" s="83"/>
    </row>
    <row r="53" spans="1:6">
      <c r="A53" s="125"/>
      <c r="B53" s="6" t="s">
        <v>53</v>
      </c>
      <c r="C53" s="123"/>
      <c r="D53" s="78"/>
      <c r="E53" s="119"/>
      <c r="F53" s="78"/>
    </row>
    <row r="54" spans="1:6" ht="25.5">
      <c r="A54" s="75" t="s">
        <v>20</v>
      </c>
      <c r="B54" s="6" t="s">
        <v>8</v>
      </c>
      <c r="C54" s="123"/>
      <c r="D54" s="77">
        <f t="shared" si="4"/>
        <v>2660711.54</v>
      </c>
      <c r="E54" s="118">
        <v>0</v>
      </c>
      <c r="F54" s="77">
        <f>2656326.54+4385</f>
        <v>2660711.54</v>
      </c>
    </row>
    <row r="55" spans="1:6">
      <c r="A55" s="84"/>
      <c r="B55" s="6" t="s">
        <v>186</v>
      </c>
      <c r="C55" s="123"/>
      <c r="D55" s="83"/>
      <c r="E55" s="120"/>
      <c r="F55" s="83"/>
    </row>
    <row r="56" spans="1:6">
      <c r="A56" s="84"/>
      <c r="B56" s="60" t="s">
        <v>229</v>
      </c>
      <c r="C56" s="123"/>
      <c r="D56" s="83"/>
      <c r="E56" s="120"/>
      <c r="F56" s="83"/>
    </row>
    <row r="57" spans="1:6" ht="25.5">
      <c r="A57" s="84"/>
      <c r="B57" s="60" t="s">
        <v>228</v>
      </c>
      <c r="C57" s="123"/>
      <c r="D57" s="83"/>
      <c r="E57" s="120"/>
      <c r="F57" s="83"/>
    </row>
    <row r="58" spans="1:6">
      <c r="A58" s="76"/>
      <c r="B58" s="6" t="s">
        <v>154</v>
      </c>
      <c r="C58" s="123"/>
      <c r="D58" s="78"/>
      <c r="E58" s="119"/>
      <c r="F58" s="78"/>
    </row>
    <row r="59" spans="1:6" ht="25.5">
      <c r="A59" s="127" t="s">
        <v>21</v>
      </c>
      <c r="B59" s="6" t="s">
        <v>8</v>
      </c>
      <c r="C59" s="123"/>
      <c r="D59" s="77">
        <f>F59</f>
        <v>911858</v>
      </c>
      <c r="E59" s="118">
        <v>0</v>
      </c>
      <c r="F59" s="77">
        <v>911858</v>
      </c>
    </row>
    <row r="60" spans="1:6" ht="25.5">
      <c r="A60" s="127"/>
      <c r="B60" s="6" t="s">
        <v>153</v>
      </c>
      <c r="C60" s="123"/>
      <c r="D60" s="83"/>
      <c r="E60" s="120"/>
      <c r="F60" s="83"/>
    </row>
    <row r="61" spans="1:6">
      <c r="A61" s="127"/>
      <c r="B61" s="6" t="s">
        <v>62</v>
      </c>
      <c r="C61" s="123"/>
      <c r="D61" s="78"/>
      <c r="E61" s="119"/>
      <c r="F61" s="78"/>
    </row>
    <row r="62" spans="1:6" ht="25.5">
      <c r="A62" s="36" t="s">
        <v>22</v>
      </c>
      <c r="B62" s="6" t="s">
        <v>8</v>
      </c>
      <c r="C62" s="123"/>
      <c r="D62" s="13">
        <f t="shared" si="4"/>
        <v>785538</v>
      </c>
      <c r="E62" s="28">
        <v>0</v>
      </c>
      <c r="F62" s="13">
        <f>878202-92664</f>
        <v>785538</v>
      </c>
    </row>
    <row r="63" spans="1:6" ht="25.5">
      <c r="A63" s="69" t="s">
        <v>23</v>
      </c>
      <c r="B63" s="6" t="s">
        <v>8</v>
      </c>
      <c r="C63" s="123"/>
      <c r="D63" s="77">
        <f t="shared" si="4"/>
        <v>1300552.47</v>
      </c>
      <c r="E63" s="118">
        <v>0</v>
      </c>
      <c r="F63" s="77">
        <v>1300552.47</v>
      </c>
    </row>
    <row r="64" spans="1:6" ht="38.25">
      <c r="A64" s="103"/>
      <c r="B64" s="6" t="s">
        <v>137</v>
      </c>
      <c r="C64" s="123"/>
      <c r="D64" s="83"/>
      <c r="E64" s="120"/>
      <c r="F64" s="83"/>
    </row>
    <row r="65" spans="1:6" ht="25.5">
      <c r="A65" s="103"/>
      <c r="B65" s="6" t="s">
        <v>139</v>
      </c>
      <c r="C65" s="123"/>
      <c r="D65" s="83"/>
      <c r="E65" s="120"/>
      <c r="F65" s="83"/>
    </row>
    <row r="66" spans="1:6">
      <c r="A66" s="70"/>
      <c r="B66" s="6" t="s">
        <v>53</v>
      </c>
      <c r="C66" s="123"/>
      <c r="D66" s="78"/>
      <c r="E66" s="119"/>
      <c r="F66" s="78"/>
    </row>
    <row r="67" spans="1:6">
      <c r="A67" s="59" t="s">
        <v>32</v>
      </c>
      <c r="B67" s="60" t="s">
        <v>227</v>
      </c>
      <c r="C67" s="123"/>
      <c r="D67" s="13">
        <v>20000</v>
      </c>
      <c r="E67" s="58">
        <v>0</v>
      </c>
      <c r="F67" s="13">
        <v>20000</v>
      </c>
    </row>
    <row r="68" spans="1:6" ht="25.5">
      <c r="A68" s="127" t="s">
        <v>24</v>
      </c>
      <c r="B68" s="6" t="s">
        <v>8</v>
      </c>
      <c r="C68" s="123"/>
      <c r="D68" s="77">
        <f t="shared" si="4"/>
        <v>1264307.26</v>
      </c>
      <c r="E68" s="118">
        <v>0</v>
      </c>
      <c r="F68" s="77">
        <v>1264307.26</v>
      </c>
    </row>
    <row r="69" spans="1:6">
      <c r="A69" s="127"/>
      <c r="B69" s="6" t="s">
        <v>64</v>
      </c>
      <c r="C69" s="123"/>
      <c r="D69" s="83"/>
      <c r="E69" s="120"/>
      <c r="F69" s="83"/>
    </row>
    <row r="70" spans="1:6" ht="25.5">
      <c r="A70" s="127"/>
      <c r="B70" s="6" t="s">
        <v>57</v>
      </c>
      <c r="C70" s="123"/>
      <c r="D70" s="83"/>
      <c r="E70" s="120"/>
      <c r="F70" s="83"/>
    </row>
    <row r="71" spans="1:6" ht="25.5">
      <c r="A71" s="127"/>
      <c r="B71" s="6" t="s">
        <v>56</v>
      </c>
      <c r="C71" s="123"/>
      <c r="D71" s="83"/>
      <c r="E71" s="120"/>
      <c r="F71" s="83"/>
    </row>
    <row r="72" spans="1:6" ht="25.5">
      <c r="A72" s="127"/>
      <c r="B72" s="6" t="s">
        <v>55</v>
      </c>
      <c r="C72" s="123"/>
      <c r="D72" s="78"/>
      <c r="E72" s="119"/>
      <c r="F72" s="78"/>
    </row>
    <row r="73" spans="1:6" ht="25.5">
      <c r="A73" s="69" t="s">
        <v>25</v>
      </c>
      <c r="B73" s="6" t="s">
        <v>8</v>
      </c>
      <c r="C73" s="123"/>
      <c r="D73" s="77">
        <f t="shared" si="4"/>
        <v>2121285</v>
      </c>
      <c r="E73" s="118">
        <v>0</v>
      </c>
      <c r="F73" s="77">
        <v>2121285</v>
      </c>
    </row>
    <row r="74" spans="1:6" ht="25.5">
      <c r="A74" s="70"/>
      <c r="B74" s="6" t="s">
        <v>153</v>
      </c>
      <c r="C74" s="123"/>
      <c r="D74" s="78"/>
      <c r="E74" s="119"/>
      <c r="F74" s="78"/>
    </row>
    <row r="75" spans="1:6" ht="25.5">
      <c r="A75" s="69" t="s">
        <v>26</v>
      </c>
      <c r="B75" s="6" t="s">
        <v>8</v>
      </c>
      <c r="C75" s="123"/>
      <c r="D75" s="77">
        <f t="shared" si="4"/>
        <v>2633647.0099999998</v>
      </c>
      <c r="E75" s="118">
        <v>0</v>
      </c>
      <c r="F75" s="77">
        <f>2373110+260537.01</f>
        <v>2633647.0099999998</v>
      </c>
    </row>
    <row r="76" spans="1:6">
      <c r="A76" s="70"/>
      <c r="B76" s="60" t="s">
        <v>230</v>
      </c>
      <c r="C76" s="123"/>
      <c r="D76" s="78"/>
      <c r="E76" s="119"/>
      <c r="F76" s="78"/>
    </row>
    <row r="77" spans="1:6" ht="25.5">
      <c r="A77" s="6" t="s">
        <v>27</v>
      </c>
      <c r="B77" s="6" t="s">
        <v>8</v>
      </c>
      <c r="C77" s="123"/>
      <c r="D77" s="13">
        <f t="shared" si="4"/>
        <v>1088000</v>
      </c>
      <c r="E77" s="28">
        <v>0</v>
      </c>
      <c r="F77" s="13">
        <v>1088000</v>
      </c>
    </row>
    <row r="78" spans="1:6" ht="25.5">
      <c r="A78" s="69" t="s">
        <v>28</v>
      </c>
      <c r="B78" s="6" t="s">
        <v>8</v>
      </c>
      <c r="C78" s="123"/>
      <c r="D78" s="77">
        <f t="shared" si="4"/>
        <v>1279900</v>
      </c>
      <c r="E78" s="118">
        <v>0</v>
      </c>
      <c r="F78" s="77">
        <f>889200-39300+430000</f>
        <v>1279900</v>
      </c>
    </row>
    <row r="79" spans="1:6">
      <c r="A79" s="70"/>
      <c r="B79" s="6" t="s">
        <v>53</v>
      </c>
      <c r="C79" s="123"/>
      <c r="D79" s="78"/>
      <c r="E79" s="119"/>
      <c r="F79" s="78"/>
    </row>
    <row r="80" spans="1:6">
      <c r="A80" s="29" t="s">
        <v>101</v>
      </c>
      <c r="B80" s="6" t="s">
        <v>53</v>
      </c>
      <c r="C80" s="123"/>
      <c r="D80" s="13">
        <f t="shared" si="4"/>
        <v>494000</v>
      </c>
      <c r="E80" s="28">
        <v>0</v>
      </c>
      <c r="F80" s="13">
        <v>494000</v>
      </c>
    </row>
    <row r="81" spans="1:7">
      <c r="A81" s="37" t="s">
        <v>152</v>
      </c>
      <c r="B81" s="6" t="s">
        <v>162</v>
      </c>
      <c r="C81" s="124"/>
      <c r="D81" s="13">
        <f t="shared" si="4"/>
        <v>46600</v>
      </c>
      <c r="E81" s="28">
        <v>0</v>
      </c>
      <c r="F81" s="13">
        <v>46600</v>
      </c>
    </row>
    <row r="82" spans="1:7">
      <c r="A82" s="113" t="s">
        <v>29</v>
      </c>
      <c r="B82" s="113"/>
      <c r="C82" s="132"/>
      <c r="D82" s="13">
        <f t="shared" ref="D82:E82" si="5">SUM(D12:D81)</f>
        <v>34061000</v>
      </c>
      <c r="E82" s="13">
        <f t="shared" si="5"/>
        <v>0</v>
      </c>
      <c r="F82" s="13">
        <f>SUM(F12:F81)</f>
        <v>34061000</v>
      </c>
      <c r="G82" s="63"/>
    </row>
    <row r="83" spans="1:7">
      <c r="A83" s="31" t="s">
        <v>11</v>
      </c>
      <c r="B83" s="105" t="s">
        <v>8</v>
      </c>
      <c r="C83" s="133" t="s">
        <v>235</v>
      </c>
      <c r="D83" s="13">
        <f t="shared" ref="D83:D89" si="6">E83+F83</f>
        <v>1399920</v>
      </c>
      <c r="E83" s="38">
        <f>1399920-1890</f>
        <v>1398030</v>
      </c>
      <c r="F83" s="13">
        <v>1890</v>
      </c>
    </row>
    <row r="84" spans="1:7">
      <c r="A84" s="16" t="s">
        <v>18</v>
      </c>
      <c r="B84" s="105"/>
      <c r="C84" s="133"/>
      <c r="D84" s="13">
        <f t="shared" si="6"/>
        <v>570200</v>
      </c>
      <c r="E84" s="38">
        <f>570200-770</f>
        <v>569430</v>
      </c>
      <c r="F84" s="13">
        <v>770</v>
      </c>
    </row>
    <row r="85" spans="1:7">
      <c r="A85" s="16" t="s">
        <v>30</v>
      </c>
      <c r="B85" s="105"/>
      <c r="C85" s="133"/>
      <c r="D85" s="13">
        <f t="shared" si="6"/>
        <v>1057160</v>
      </c>
      <c r="E85" s="38">
        <f>1057160-1427</f>
        <v>1055733</v>
      </c>
      <c r="F85" s="13">
        <v>1427</v>
      </c>
    </row>
    <row r="86" spans="1:7">
      <c r="A86" s="16" t="s">
        <v>31</v>
      </c>
      <c r="B86" s="105"/>
      <c r="C86" s="133"/>
      <c r="D86" s="13">
        <f t="shared" si="6"/>
        <v>1067040</v>
      </c>
      <c r="E86" s="38">
        <f>1067040-1441</f>
        <v>1065599</v>
      </c>
      <c r="F86" s="13">
        <v>1441</v>
      </c>
    </row>
    <row r="87" spans="1:7">
      <c r="A87" s="16" t="s">
        <v>32</v>
      </c>
      <c r="B87" s="105"/>
      <c r="C87" s="133"/>
      <c r="D87" s="13">
        <f t="shared" si="6"/>
        <v>792300</v>
      </c>
      <c r="E87" s="38">
        <f>792300-1070</f>
        <v>791230</v>
      </c>
      <c r="F87" s="13">
        <v>1070</v>
      </c>
    </row>
    <row r="88" spans="1:7">
      <c r="A88" s="16" t="s">
        <v>33</v>
      </c>
      <c r="B88" s="105"/>
      <c r="C88" s="133"/>
      <c r="D88" s="13">
        <f t="shared" si="6"/>
        <v>897000</v>
      </c>
      <c r="E88" s="38">
        <f>897000-1211</f>
        <v>895789</v>
      </c>
      <c r="F88" s="13">
        <v>1211</v>
      </c>
    </row>
    <row r="89" spans="1:7">
      <c r="A89" s="16" t="s">
        <v>34</v>
      </c>
      <c r="B89" s="105"/>
      <c r="C89" s="133"/>
      <c r="D89" s="13">
        <f t="shared" si="6"/>
        <v>1011398</v>
      </c>
      <c r="E89" s="38">
        <f>1011398-1365</f>
        <v>1010033</v>
      </c>
      <c r="F89" s="13">
        <v>1365</v>
      </c>
    </row>
    <row r="90" spans="1:7">
      <c r="A90" s="113" t="s">
        <v>29</v>
      </c>
      <c r="B90" s="113"/>
      <c r="C90" s="114"/>
      <c r="D90" s="13">
        <f>SUM(D83:D89)</f>
        <v>6795018</v>
      </c>
      <c r="E90" s="30">
        <f t="shared" ref="E90:F90" si="7">SUM(E83:E89)</f>
        <v>6785844</v>
      </c>
      <c r="F90" s="13">
        <f t="shared" si="7"/>
        <v>9174</v>
      </c>
    </row>
    <row r="91" spans="1:7">
      <c r="A91" s="130" t="s">
        <v>35</v>
      </c>
      <c r="B91" s="130"/>
      <c r="C91" s="131"/>
      <c r="D91" s="13">
        <f>D90+D82</f>
        <v>40856018</v>
      </c>
      <c r="E91" s="30">
        <f>E90+E82</f>
        <v>6785844</v>
      </c>
      <c r="F91" s="13">
        <f>F90+F82</f>
        <v>34070174</v>
      </c>
    </row>
    <row r="94" spans="1:7">
      <c r="F94" s="20"/>
    </row>
  </sheetData>
  <autoFilter ref="A11:F91"/>
  <mergeCells count="75">
    <mergeCell ref="A68:A72"/>
    <mergeCell ref="A7:F7"/>
    <mergeCell ref="A54:A58"/>
    <mergeCell ref="A73:A74"/>
    <mergeCell ref="A18:A19"/>
    <mergeCell ref="F51:F53"/>
    <mergeCell ref="D51:D53"/>
    <mergeCell ref="E51:E53"/>
    <mergeCell ref="F63:F66"/>
    <mergeCell ref="D63:D66"/>
    <mergeCell ref="E63:E66"/>
    <mergeCell ref="F68:F72"/>
    <mergeCell ref="D68:D72"/>
    <mergeCell ref="E68:E72"/>
    <mergeCell ref="F54:F58"/>
    <mergeCell ref="D54:D58"/>
    <mergeCell ref="A75:A76"/>
    <mergeCell ref="D1:F6"/>
    <mergeCell ref="A91:C91"/>
    <mergeCell ref="A82:C82"/>
    <mergeCell ref="B83:B89"/>
    <mergeCell ref="C83:C89"/>
    <mergeCell ref="A90:C90"/>
    <mergeCell ref="D8:F8"/>
    <mergeCell ref="A10:A11"/>
    <mergeCell ref="B10:B11"/>
    <mergeCell ref="C10:C11"/>
    <mergeCell ref="D10:D11"/>
    <mergeCell ref="E10:F10"/>
    <mergeCell ref="A30:A31"/>
    <mergeCell ref="F78:F79"/>
    <mergeCell ref="E78:E79"/>
    <mergeCell ref="D78:D79"/>
    <mergeCell ref="A15:A16"/>
    <mergeCell ref="D15:D16"/>
    <mergeCell ref="E15:E16"/>
    <mergeCell ref="F15:F16"/>
    <mergeCell ref="C12:C81"/>
    <mergeCell ref="A78:A79"/>
    <mergeCell ref="A63:A66"/>
    <mergeCell ref="A51:A53"/>
    <mergeCell ref="A20:A21"/>
    <mergeCell ref="A34:A35"/>
    <mergeCell ref="A44:A46"/>
    <mergeCell ref="A59:A61"/>
    <mergeCell ref="A26:A27"/>
    <mergeCell ref="D59:D61"/>
    <mergeCell ref="E59:E61"/>
    <mergeCell ref="F75:F76"/>
    <mergeCell ref="E75:E76"/>
    <mergeCell ref="D75:D76"/>
    <mergeCell ref="F73:F74"/>
    <mergeCell ref="D73:D74"/>
    <mergeCell ref="E73:E74"/>
    <mergeCell ref="E54:E58"/>
    <mergeCell ref="F59:F61"/>
    <mergeCell ref="F44:F46"/>
    <mergeCell ref="D44:D46"/>
    <mergeCell ref="E44:E46"/>
    <mergeCell ref="F34:F35"/>
    <mergeCell ref="D34:D35"/>
    <mergeCell ref="E34:E35"/>
    <mergeCell ref="A42:A43"/>
    <mergeCell ref="F20:F21"/>
    <mergeCell ref="D20:D21"/>
    <mergeCell ref="E20:E21"/>
    <mergeCell ref="D18:D19"/>
    <mergeCell ref="F18:F19"/>
    <mergeCell ref="E18:E19"/>
    <mergeCell ref="D30:D31"/>
    <mergeCell ref="F30:F31"/>
    <mergeCell ref="E30:E31"/>
    <mergeCell ref="F26:F27"/>
    <mergeCell ref="D26:D27"/>
    <mergeCell ref="E26:E27"/>
  </mergeCells>
  <pageMargins left="0.31496062992125984" right="0.31496062992125984" top="0.39370078740157483" bottom="0.39370078740157483" header="0.19685039370078741" footer="0.19685039370078741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  </vt:lpstr>
      <vt:lpstr>Приложение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gtihaa</cp:lastModifiedBy>
  <cp:lastPrinted>2024-11-14T09:04:36Z</cp:lastPrinted>
  <dcterms:created xsi:type="dcterms:W3CDTF">2023-08-10T19:03:18Z</dcterms:created>
  <dcterms:modified xsi:type="dcterms:W3CDTF">2024-11-18T07:40:09Z</dcterms:modified>
</cp:coreProperties>
</file>